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G:\Programs-Policy\Buffers\NEW BUFFERS\Website\Website documents\Decision Supoort Tool\"/>
    </mc:Choice>
  </mc:AlternateContent>
  <xr:revisionPtr revIDLastSave="0" documentId="8_{05C437A1-D664-418C-A679-8E03C905ADB2}" xr6:coauthVersionLast="47" xr6:coauthVersionMax="47" xr10:uidLastSave="{00000000-0000-0000-0000-000000000000}"/>
  <workbookProtection workbookPassword="C2EC" lockStructure="1"/>
  <bookViews>
    <workbookView xWindow="28680" yWindow="-1635" windowWidth="29040" windowHeight="15720" tabRatio="733" activeTab="1" xr2:uid="{00000000-000D-0000-FFFF-FFFF00000000}"/>
  </bookViews>
  <sheets>
    <sheet name="Instructions" sheetId="22" r:id="rId1"/>
    <sheet name="(STEP 1) Baseline Conditions" sheetId="13" r:id="rId2"/>
    <sheet name="(STEP 2) Alternative BMP Choice" sheetId="21" r:id="rId3"/>
    <sheet name="Printout" sheetId="26" r:id="rId4"/>
    <sheet name="Management Condition Ex." sheetId="19" r:id="rId5"/>
    <sheet name="BMP Removal Rates" sheetId="12" state="veryHidden" r:id="rId6"/>
    <sheet name="Dosskey Coefficients" sheetId="18" state="veryHidden" r:id="rId7"/>
    <sheet name="270 Baseline RESULTS" sheetId="5" state="veryHidden" r:id="rId8"/>
    <sheet name="Buffer Trapping Line" sheetId="2" state="veryHidden" r:id="rId9"/>
    <sheet name="Buffer Reductions" sheetId="14" state="veryHidden" r:id="rId10"/>
    <sheet name="Berm Reductions" sheetId="15" state="veryHidden" r:id="rId11"/>
    <sheet name="BERM_data for P Index" sheetId="16" state="veryHidden" r:id="rId12"/>
    <sheet name="P Index Results" sheetId="8" state="veryHidden" r:id="rId13"/>
    <sheet name="C_factor" sheetId="7" state="veryHidden" r:id="rId14"/>
    <sheet name="Mgmt condition" sheetId="1" state="veryHidden" r:id="rId15"/>
    <sheet name="BMP Suitability 01" sheetId="11" state="veryHidden" r:id="rId16"/>
    <sheet name="BMP Suitability 123" sheetId="10" state="veryHidden" r:id="rId17"/>
    <sheet name="BMP Suitability LMH" sheetId="9" state="veryHidden" r:id="rId18"/>
    <sheet name="P Fertilizer Rate" sheetId="4" state="veryHidden" r:id="rId19"/>
    <sheet name="P Fert Rate for 270 Scenarios" sheetId="3" state="veryHidden" r:id="rId20"/>
  </sheets>
  <externalReferences>
    <externalReference r:id="rId21"/>
  </externalReferences>
  <definedNames>
    <definedName name="_xlnm.Print_Area" localSheetId="3">Printout!$A$1:$M$37</definedName>
    <definedName name="watershed_list">[1]Watersheds!$A$38:$A$117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18" l="1"/>
  <c r="T3" i="18" l="1"/>
  <c r="R3" i="12" l="1"/>
  <c r="S3" i="12"/>
  <c r="T3" i="12"/>
  <c r="U3" i="12"/>
  <c r="V3" i="12"/>
  <c r="W3" i="12"/>
  <c r="AB3" i="12"/>
  <c r="AC3" i="12"/>
  <c r="R4" i="12"/>
  <c r="S4" i="12"/>
  <c r="T4" i="12"/>
  <c r="U4" i="12"/>
  <c r="R5" i="12"/>
  <c r="S5" i="12"/>
  <c r="T5" i="12"/>
  <c r="U5" i="12"/>
  <c r="V5" i="12"/>
  <c r="W5" i="12"/>
  <c r="R6" i="12"/>
  <c r="S6" i="12"/>
  <c r="T6" i="12"/>
  <c r="U6" i="12"/>
  <c r="V6" i="12"/>
  <c r="W6" i="12"/>
  <c r="AB6" i="12"/>
  <c r="R7" i="12"/>
  <c r="S7" i="12"/>
  <c r="T7" i="12"/>
  <c r="U7" i="12"/>
  <c r="V7" i="12"/>
  <c r="W7" i="12"/>
  <c r="R8" i="12"/>
  <c r="S8" i="12"/>
  <c r="T8" i="12"/>
  <c r="U8" i="12"/>
  <c r="AC8" i="12"/>
  <c r="R9" i="12"/>
  <c r="S9" i="12"/>
  <c r="T9" i="12"/>
  <c r="U9" i="12"/>
  <c r="V9" i="12"/>
  <c r="W9" i="12"/>
  <c r="X9" i="12"/>
  <c r="Y9" i="12"/>
  <c r="R10" i="12"/>
  <c r="S10" i="12"/>
  <c r="T10" i="12"/>
  <c r="U10" i="12"/>
  <c r="V10" i="12"/>
  <c r="W10" i="12"/>
  <c r="AB10" i="12"/>
  <c r="AC10" i="12"/>
  <c r="R11" i="12"/>
  <c r="S11" i="12"/>
  <c r="T11" i="12"/>
  <c r="U11" i="12"/>
  <c r="V11" i="12"/>
  <c r="W11" i="12"/>
  <c r="AC11" i="12"/>
  <c r="R12" i="12"/>
  <c r="S12" i="12"/>
  <c r="T12" i="12"/>
  <c r="U12" i="12"/>
  <c r="AB12" i="12"/>
  <c r="AC12" i="12"/>
  <c r="R13" i="12"/>
  <c r="S13" i="12"/>
  <c r="T13" i="12"/>
  <c r="U13" i="12"/>
  <c r="V13" i="12"/>
  <c r="W13" i="12"/>
  <c r="R14" i="12"/>
  <c r="S14" i="12"/>
  <c r="T14" i="12"/>
  <c r="U14" i="12"/>
  <c r="V14" i="12"/>
  <c r="W14" i="12"/>
  <c r="X14" i="12"/>
  <c r="Y14" i="12"/>
  <c r="Z14" i="12"/>
  <c r="AC14" i="12"/>
  <c r="R15" i="12"/>
  <c r="S15" i="12"/>
  <c r="T15" i="12"/>
  <c r="U15" i="12"/>
  <c r="V15" i="12"/>
  <c r="W15" i="12"/>
  <c r="AB15" i="12"/>
  <c r="AC15" i="12"/>
  <c r="R16" i="12"/>
  <c r="S16" i="12"/>
  <c r="T16" i="12"/>
  <c r="U16" i="12"/>
  <c r="AC16" i="12"/>
  <c r="R17" i="12"/>
  <c r="S17" i="12"/>
  <c r="T17" i="12"/>
  <c r="U17" i="12"/>
  <c r="V17" i="12"/>
  <c r="W17" i="12"/>
  <c r="R18" i="12"/>
  <c r="S18" i="12"/>
  <c r="T18" i="12"/>
  <c r="U18" i="12"/>
  <c r="V18" i="12"/>
  <c r="W18" i="12"/>
  <c r="AB18" i="12"/>
  <c r="AC18" i="12"/>
  <c r="R19" i="12"/>
  <c r="S19" i="12"/>
  <c r="T19" i="12"/>
  <c r="U19" i="12"/>
  <c r="V19" i="12"/>
  <c r="W19" i="12"/>
  <c r="X19" i="12"/>
  <c r="AC19" i="12"/>
  <c r="R20" i="12"/>
  <c r="S20" i="12"/>
  <c r="T20" i="12"/>
  <c r="U20" i="12"/>
  <c r="AB20" i="12"/>
  <c r="AC20" i="12"/>
  <c r="R21" i="12"/>
  <c r="S21" i="12"/>
  <c r="T21" i="12"/>
  <c r="U21" i="12"/>
  <c r="V21" i="12"/>
  <c r="W21" i="12"/>
  <c r="R22" i="12"/>
  <c r="S22" i="12"/>
  <c r="T22" i="12"/>
  <c r="U22" i="12"/>
  <c r="V22" i="12"/>
  <c r="W22" i="12"/>
  <c r="AB22" i="12"/>
  <c r="AC22" i="12"/>
  <c r="R23" i="12"/>
  <c r="S23" i="12"/>
  <c r="T23" i="12"/>
  <c r="U23" i="12"/>
  <c r="V23" i="12"/>
  <c r="W23" i="12"/>
  <c r="AB23" i="12"/>
  <c r="AC23" i="12"/>
  <c r="R24" i="12"/>
  <c r="S24" i="12"/>
  <c r="T24" i="12"/>
  <c r="U24" i="12"/>
  <c r="R25" i="12"/>
  <c r="S25" i="12"/>
  <c r="T25" i="12"/>
  <c r="U25" i="12"/>
  <c r="V25" i="12"/>
  <c r="W25" i="12"/>
  <c r="R26" i="12"/>
  <c r="S26" i="12"/>
  <c r="T26" i="12"/>
  <c r="U26" i="12"/>
  <c r="V26" i="12"/>
  <c r="W26" i="12"/>
  <c r="AB26" i="12"/>
  <c r="R27" i="12"/>
  <c r="S27" i="12"/>
  <c r="T27" i="12"/>
  <c r="U27" i="12"/>
  <c r="V27" i="12"/>
  <c r="W27" i="12"/>
  <c r="R28" i="12"/>
  <c r="S28" i="12"/>
  <c r="T28" i="12"/>
  <c r="U28" i="12"/>
  <c r="V28" i="12"/>
  <c r="AB28" i="12"/>
  <c r="AC28" i="12"/>
  <c r="R29" i="12"/>
  <c r="S29" i="12"/>
  <c r="T29" i="12"/>
  <c r="U29" i="12"/>
  <c r="V29" i="12"/>
  <c r="W29" i="12"/>
  <c r="R30" i="12"/>
  <c r="S30" i="12"/>
  <c r="T30" i="12"/>
  <c r="U30" i="12"/>
  <c r="V30" i="12"/>
  <c r="W30" i="12"/>
  <c r="AB30" i="12"/>
  <c r="AC30" i="12"/>
  <c r="R31" i="12"/>
  <c r="S31" i="12"/>
  <c r="T31" i="12"/>
  <c r="U31" i="12"/>
  <c r="V31" i="12"/>
  <c r="W31" i="12"/>
  <c r="AB31" i="12"/>
  <c r="AC31" i="12"/>
  <c r="R32" i="12"/>
  <c r="S32" i="12"/>
  <c r="T32" i="12"/>
  <c r="U32" i="12"/>
  <c r="V32" i="12"/>
  <c r="Q3" i="12"/>
  <c r="P4" i="12"/>
  <c r="Q4" i="12"/>
  <c r="Q5" i="12"/>
  <c r="P6" i="12"/>
  <c r="Q6" i="12"/>
  <c r="Q9" i="12"/>
  <c r="P10" i="12"/>
  <c r="Q10" i="12"/>
  <c r="P11" i="12"/>
  <c r="Q11" i="12"/>
  <c r="P12" i="12"/>
  <c r="Q12" i="12"/>
  <c r="Q13" i="12"/>
  <c r="Q14" i="12"/>
  <c r="Q17" i="12"/>
  <c r="Q18" i="12"/>
  <c r="P19" i="12"/>
  <c r="Q19" i="12"/>
  <c r="P20" i="12"/>
  <c r="Q20" i="12"/>
  <c r="P21" i="12"/>
  <c r="Q21" i="12"/>
  <c r="P22" i="12"/>
  <c r="Q22" i="12"/>
  <c r="Q25" i="12"/>
  <c r="Q26" i="12"/>
  <c r="Q27" i="12"/>
  <c r="Q28" i="12"/>
  <c r="P29" i="12"/>
  <c r="Q29" i="12"/>
  <c r="P30" i="12"/>
  <c r="Q30" i="12"/>
  <c r="O4" i="12"/>
  <c r="O5" i="12"/>
  <c r="O6" i="12"/>
  <c r="O7" i="12"/>
  <c r="O8" i="12"/>
  <c r="O12" i="12"/>
  <c r="O13" i="12"/>
  <c r="O20" i="12"/>
  <c r="O21" i="12"/>
  <c r="O22" i="12"/>
  <c r="O23" i="12"/>
  <c r="O24" i="12"/>
  <c r="O25" i="12"/>
  <c r="O26" i="12"/>
  <c r="O27" i="12"/>
  <c r="O28" i="12"/>
  <c r="O29" i="12"/>
  <c r="N14" i="12"/>
  <c r="N15" i="12"/>
  <c r="N16" i="12"/>
  <c r="N17" i="12"/>
  <c r="N23" i="12"/>
  <c r="N24" i="12"/>
  <c r="N25" i="12"/>
  <c r="N26" i="12"/>
  <c r="D9" i="12"/>
  <c r="D10" i="12"/>
  <c r="D11" i="12"/>
  <c r="D12" i="12"/>
  <c r="D13" i="12"/>
  <c r="D14" i="12"/>
  <c r="D15" i="12"/>
  <c r="D16" i="12"/>
  <c r="D17" i="12"/>
  <c r="D18" i="12"/>
  <c r="D19" i="12"/>
  <c r="D20" i="12"/>
  <c r="D21" i="12"/>
  <c r="D22" i="12"/>
  <c r="D23" i="12"/>
  <c r="D24" i="12"/>
  <c r="D25" i="12"/>
  <c r="D26" i="12"/>
  <c r="D27" i="12"/>
  <c r="D28" i="12"/>
  <c r="D29" i="12"/>
  <c r="D30" i="12"/>
  <c r="D31" i="12"/>
  <c r="D32" i="12"/>
  <c r="D3" i="12"/>
  <c r="D4" i="12"/>
  <c r="D5" i="12"/>
  <c r="D6" i="12"/>
  <c r="D7" i="12"/>
  <c r="D8" i="12"/>
  <c r="E3" i="12"/>
  <c r="F3" i="12"/>
  <c r="G3" i="12"/>
  <c r="H3" i="12"/>
  <c r="I3" i="12"/>
  <c r="J3" i="12"/>
  <c r="K3" i="12"/>
  <c r="L3" i="12"/>
  <c r="M3" i="12"/>
  <c r="E4" i="12"/>
  <c r="F4" i="12"/>
  <c r="G4" i="12"/>
  <c r="H4" i="12"/>
  <c r="I4" i="12"/>
  <c r="J4" i="12"/>
  <c r="K4" i="12"/>
  <c r="L4" i="12"/>
  <c r="M4" i="12"/>
  <c r="E5" i="12"/>
  <c r="F5" i="12"/>
  <c r="G5" i="12"/>
  <c r="H5" i="12"/>
  <c r="I5" i="12"/>
  <c r="J5" i="12"/>
  <c r="K5" i="12"/>
  <c r="L5" i="12"/>
  <c r="M5" i="12"/>
  <c r="E6" i="12"/>
  <c r="F6" i="12"/>
  <c r="G6" i="12"/>
  <c r="H6" i="12"/>
  <c r="I6" i="12"/>
  <c r="J6" i="12"/>
  <c r="K6" i="12"/>
  <c r="L6" i="12"/>
  <c r="M6" i="12"/>
  <c r="E7" i="12"/>
  <c r="F7" i="12"/>
  <c r="G7" i="12"/>
  <c r="H7" i="12"/>
  <c r="I7" i="12"/>
  <c r="J7" i="12"/>
  <c r="K7" i="12"/>
  <c r="L7" i="12"/>
  <c r="M7" i="12"/>
  <c r="E8" i="12"/>
  <c r="F8" i="12"/>
  <c r="G8" i="12"/>
  <c r="H8" i="12"/>
  <c r="I8" i="12"/>
  <c r="J8" i="12"/>
  <c r="K8" i="12"/>
  <c r="L8" i="12"/>
  <c r="M8" i="12"/>
  <c r="E9" i="12"/>
  <c r="F9" i="12"/>
  <c r="G9" i="12"/>
  <c r="H9" i="12"/>
  <c r="I9" i="12"/>
  <c r="J9" i="12"/>
  <c r="K9" i="12"/>
  <c r="L9" i="12"/>
  <c r="M9" i="12"/>
  <c r="E10" i="12"/>
  <c r="F10" i="12"/>
  <c r="G10" i="12"/>
  <c r="H10" i="12"/>
  <c r="I10" i="12"/>
  <c r="J10" i="12"/>
  <c r="K10" i="12"/>
  <c r="L10" i="12"/>
  <c r="M10" i="12"/>
  <c r="E11" i="12"/>
  <c r="F11" i="12"/>
  <c r="G11" i="12"/>
  <c r="H11" i="12"/>
  <c r="I11" i="12"/>
  <c r="J11" i="12"/>
  <c r="K11" i="12"/>
  <c r="L11" i="12"/>
  <c r="M11" i="12"/>
  <c r="E12" i="12"/>
  <c r="F12" i="12"/>
  <c r="G12" i="12"/>
  <c r="H12" i="12"/>
  <c r="I12" i="12"/>
  <c r="J12" i="12"/>
  <c r="K12" i="12"/>
  <c r="L12" i="12"/>
  <c r="M12" i="12"/>
  <c r="E13" i="12"/>
  <c r="F13" i="12"/>
  <c r="G13" i="12"/>
  <c r="H13" i="12"/>
  <c r="I13" i="12"/>
  <c r="J13" i="12"/>
  <c r="K13" i="12"/>
  <c r="L13" i="12"/>
  <c r="M13" i="12"/>
  <c r="E14" i="12"/>
  <c r="F14" i="12"/>
  <c r="G14" i="12"/>
  <c r="H14" i="12"/>
  <c r="I14" i="12"/>
  <c r="J14" i="12"/>
  <c r="K14" i="12"/>
  <c r="L14" i="12"/>
  <c r="M14" i="12"/>
  <c r="E15" i="12"/>
  <c r="F15" i="12"/>
  <c r="G15" i="12"/>
  <c r="H15" i="12"/>
  <c r="I15" i="12"/>
  <c r="J15" i="12"/>
  <c r="K15" i="12"/>
  <c r="L15" i="12"/>
  <c r="M15" i="12"/>
  <c r="E16" i="12"/>
  <c r="F16" i="12"/>
  <c r="G16" i="12"/>
  <c r="H16" i="12"/>
  <c r="I16" i="12"/>
  <c r="J16" i="12"/>
  <c r="K16" i="12"/>
  <c r="L16" i="12"/>
  <c r="M16" i="12"/>
  <c r="E17" i="12"/>
  <c r="F17" i="12"/>
  <c r="G17" i="12"/>
  <c r="H17" i="12"/>
  <c r="I17" i="12"/>
  <c r="J17" i="12"/>
  <c r="K17" i="12"/>
  <c r="L17" i="12"/>
  <c r="M17" i="12"/>
  <c r="E18" i="12"/>
  <c r="F18" i="12"/>
  <c r="G18" i="12"/>
  <c r="H18" i="12"/>
  <c r="I18" i="12"/>
  <c r="J18" i="12"/>
  <c r="K18" i="12"/>
  <c r="L18" i="12"/>
  <c r="M18" i="12"/>
  <c r="E19" i="12"/>
  <c r="F19" i="12"/>
  <c r="G19" i="12"/>
  <c r="H19" i="12"/>
  <c r="I19" i="12"/>
  <c r="J19" i="12"/>
  <c r="K19" i="12"/>
  <c r="L19" i="12"/>
  <c r="M19" i="12"/>
  <c r="E20" i="12"/>
  <c r="F20" i="12"/>
  <c r="G20" i="12"/>
  <c r="H20" i="12"/>
  <c r="I20" i="12"/>
  <c r="J20" i="12"/>
  <c r="K20" i="12"/>
  <c r="L20" i="12"/>
  <c r="M20" i="12"/>
  <c r="E21" i="12"/>
  <c r="F21" i="12"/>
  <c r="G21" i="12"/>
  <c r="H21" i="12"/>
  <c r="I21" i="12"/>
  <c r="J21" i="12"/>
  <c r="K21" i="12"/>
  <c r="L21" i="12"/>
  <c r="M21" i="12"/>
  <c r="E22" i="12"/>
  <c r="F22" i="12"/>
  <c r="G22" i="12"/>
  <c r="H22" i="12"/>
  <c r="I22" i="12"/>
  <c r="J22" i="12"/>
  <c r="K22" i="12"/>
  <c r="L22" i="12"/>
  <c r="M22" i="12"/>
  <c r="E23" i="12"/>
  <c r="F23" i="12"/>
  <c r="G23" i="12"/>
  <c r="H23" i="12"/>
  <c r="I23" i="12"/>
  <c r="J23" i="12"/>
  <c r="K23" i="12"/>
  <c r="L23" i="12"/>
  <c r="M23" i="12"/>
  <c r="E24" i="12"/>
  <c r="F24" i="12"/>
  <c r="G24" i="12"/>
  <c r="H24" i="12"/>
  <c r="I24" i="12"/>
  <c r="J24" i="12"/>
  <c r="K24" i="12"/>
  <c r="L24" i="12"/>
  <c r="M24" i="12"/>
  <c r="E25" i="12"/>
  <c r="F25" i="12"/>
  <c r="G25" i="12"/>
  <c r="H25" i="12"/>
  <c r="I25" i="12"/>
  <c r="J25" i="12"/>
  <c r="K25" i="12"/>
  <c r="L25" i="12"/>
  <c r="M25" i="12"/>
  <c r="E26" i="12"/>
  <c r="F26" i="12"/>
  <c r="G26" i="12"/>
  <c r="H26" i="12"/>
  <c r="I26" i="12"/>
  <c r="J26" i="12"/>
  <c r="K26" i="12"/>
  <c r="L26" i="12"/>
  <c r="M26" i="12"/>
  <c r="E27" i="12"/>
  <c r="F27" i="12"/>
  <c r="G27" i="12"/>
  <c r="H27" i="12"/>
  <c r="I27" i="12"/>
  <c r="J27" i="12"/>
  <c r="K27" i="12"/>
  <c r="L27" i="12"/>
  <c r="M27" i="12"/>
  <c r="E28" i="12"/>
  <c r="F28" i="12"/>
  <c r="G28" i="12"/>
  <c r="H28" i="12"/>
  <c r="I28" i="12"/>
  <c r="J28" i="12"/>
  <c r="K28" i="12"/>
  <c r="L28" i="12"/>
  <c r="M28" i="12"/>
  <c r="E29" i="12"/>
  <c r="F29" i="12"/>
  <c r="G29" i="12"/>
  <c r="H29" i="12"/>
  <c r="I29" i="12"/>
  <c r="J29" i="12"/>
  <c r="K29" i="12"/>
  <c r="L29" i="12"/>
  <c r="M29" i="12"/>
  <c r="E30" i="12"/>
  <c r="F30" i="12"/>
  <c r="G30" i="12"/>
  <c r="H30" i="12"/>
  <c r="I30" i="12"/>
  <c r="J30" i="12"/>
  <c r="K30" i="12"/>
  <c r="L30" i="12"/>
  <c r="M30" i="12"/>
  <c r="E31" i="12"/>
  <c r="F31" i="12"/>
  <c r="G31" i="12"/>
  <c r="H31" i="12"/>
  <c r="I31" i="12"/>
  <c r="J31" i="12"/>
  <c r="K31" i="12"/>
  <c r="L31" i="12"/>
  <c r="M31" i="12"/>
  <c r="E32" i="12"/>
  <c r="F32" i="12"/>
  <c r="G32" i="12"/>
  <c r="H32" i="12"/>
  <c r="I32" i="12"/>
  <c r="J32" i="12"/>
  <c r="K32" i="12"/>
  <c r="L32" i="12"/>
  <c r="M32" i="12"/>
  <c r="B3" i="12"/>
  <c r="C3" i="12"/>
  <c r="B4" i="12"/>
  <c r="C4" i="12"/>
  <c r="B5" i="12"/>
  <c r="C5" i="12"/>
  <c r="B6" i="12"/>
  <c r="C6" i="12"/>
  <c r="B7" i="12"/>
  <c r="C7" i="12"/>
  <c r="B8" i="12"/>
  <c r="C8" i="12"/>
  <c r="B9" i="12"/>
  <c r="C9" i="12"/>
  <c r="B10" i="12"/>
  <c r="C10" i="12"/>
  <c r="B11" i="12"/>
  <c r="C11" i="12"/>
  <c r="B12" i="12"/>
  <c r="C12" i="12"/>
  <c r="B13" i="12"/>
  <c r="C13" i="12"/>
  <c r="B14" i="12"/>
  <c r="C14" i="12"/>
  <c r="B15" i="12"/>
  <c r="C15" i="12"/>
  <c r="B16" i="12"/>
  <c r="C16" i="12"/>
  <c r="B17" i="12"/>
  <c r="C17" i="12"/>
  <c r="B18" i="12"/>
  <c r="C18" i="12"/>
  <c r="B19" i="12"/>
  <c r="C19" i="12"/>
  <c r="B20" i="12"/>
  <c r="C20" i="12"/>
  <c r="B21" i="12"/>
  <c r="C21" i="12"/>
  <c r="B22" i="12"/>
  <c r="C22" i="12"/>
  <c r="B23" i="12"/>
  <c r="C23" i="12"/>
  <c r="B24" i="12"/>
  <c r="C24" i="12"/>
  <c r="B25" i="12"/>
  <c r="C25" i="12"/>
  <c r="B26" i="12"/>
  <c r="C26" i="12"/>
  <c r="B27" i="12"/>
  <c r="C27" i="12"/>
  <c r="B28" i="12"/>
  <c r="C28" i="12"/>
  <c r="B29" i="12"/>
  <c r="C29" i="12"/>
  <c r="B30" i="12"/>
  <c r="C30" i="12"/>
  <c r="B31" i="12"/>
  <c r="C31" i="12"/>
  <c r="B32" i="12"/>
  <c r="C32" i="12"/>
  <c r="C43" i="12"/>
  <c r="D43" i="12"/>
  <c r="E43" i="12"/>
  <c r="F43" i="12"/>
  <c r="G43" i="12"/>
  <c r="H43" i="12"/>
  <c r="I43" i="12"/>
  <c r="J43" i="12"/>
  <c r="K43" i="12"/>
  <c r="L43" i="12"/>
  <c r="M43" i="12"/>
  <c r="N43" i="12"/>
  <c r="O43" i="12"/>
  <c r="P43" i="12"/>
  <c r="Q43" i="12"/>
  <c r="T43" i="12"/>
  <c r="U43" i="12"/>
  <c r="V43" i="12"/>
  <c r="W43" i="12"/>
  <c r="X43" i="12"/>
  <c r="Y43" i="12"/>
  <c r="Z43" i="12"/>
  <c r="AA43" i="12"/>
  <c r="AB43" i="12"/>
  <c r="AC43" i="12"/>
  <c r="B43" i="12"/>
  <c r="C42" i="12"/>
  <c r="D42" i="12"/>
  <c r="E42" i="12"/>
  <c r="F42" i="12"/>
  <c r="G42" i="12"/>
  <c r="H42" i="12"/>
  <c r="I42" i="12"/>
  <c r="J42" i="12"/>
  <c r="K42" i="12"/>
  <c r="L42" i="12"/>
  <c r="M42" i="12"/>
  <c r="N42" i="12"/>
  <c r="N7" i="12" s="1"/>
  <c r="O42" i="12"/>
  <c r="P42" i="12"/>
  <c r="Q42" i="12"/>
  <c r="Q7" i="12" s="1"/>
  <c r="T42" i="12"/>
  <c r="U42" i="12"/>
  <c r="V42" i="12"/>
  <c r="V4" i="12" s="1"/>
  <c r="W42" i="12"/>
  <c r="W4" i="12" s="1"/>
  <c r="X42" i="12"/>
  <c r="X13" i="12" s="1"/>
  <c r="Y42" i="12"/>
  <c r="Y6" i="12" s="1"/>
  <c r="Z42" i="12"/>
  <c r="Z19" i="12" s="1"/>
  <c r="AA42" i="12"/>
  <c r="AA19" i="12" s="1"/>
  <c r="AB42" i="12"/>
  <c r="AB14" i="12" s="1"/>
  <c r="AC42" i="12"/>
  <c r="AC6" i="12" s="1"/>
  <c r="B42" i="12"/>
  <c r="AA27" i="12" l="1"/>
  <c r="Z7" i="12"/>
  <c r="Y27" i="12"/>
  <c r="Y17" i="12"/>
  <c r="AA12" i="12"/>
  <c r="X7" i="12"/>
  <c r="AA30" i="12"/>
  <c r="X17" i="12"/>
  <c r="Y22" i="12"/>
  <c r="X22" i="12"/>
  <c r="AA10" i="12"/>
  <c r="X30" i="12"/>
  <c r="X25" i="12"/>
  <c r="AA23" i="12"/>
  <c r="Z10" i="12"/>
  <c r="X5" i="12"/>
  <c r="Z3" i="12"/>
  <c r="N13" i="12"/>
  <c r="AA31" i="12"/>
  <c r="AA28" i="12"/>
  <c r="Z23" i="12"/>
  <c r="Y10" i="12"/>
  <c r="Y3" i="12"/>
  <c r="P7" i="12"/>
  <c r="P15" i="12"/>
  <c r="P23" i="12"/>
  <c r="P31" i="12"/>
  <c r="P8" i="12"/>
  <c r="P16" i="12"/>
  <c r="P24" i="12"/>
  <c r="P32" i="12"/>
  <c r="P9" i="12"/>
  <c r="P17" i="12"/>
  <c r="P25" i="12"/>
  <c r="N3" i="12"/>
  <c r="N12" i="12"/>
  <c r="P18" i="12"/>
  <c r="P5" i="12"/>
  <c r="Z31" i="12"/>
  <c r="Y23" i="12"/>
  <c r="AA18" i="12"/>
  <c r="Y13" i="12"/>
  <c r="AB11" i="12"/>
  <c r="X10" i="12"/>
  <c r="AB8" i="12"/>
  <c r="X3" i="12"/>
  <c r="O15" i="12"/>
  <c r="O31" i="12"/>
  <c r="O16" i="12"/>
  <c r="O32" i="12"/>
  <c r="O17" i="12"/>
  <c r="O18" i="12"/>
  <c r="O3" i="12"/>
  <c r="O19" i="12"/>
  <c r="N32" i="12"/>
  <c r="N11" i="12"/>
  <c r="O14" i="12"/>
  <c r="P28" i="12"/>
  <c r="Y31" i="12"/>
  <c r="AC26" i="12"/>
  <c r="X23" i="12"/>
  <c r="Z18" i="12"/>
  <c r="AA11" i="12"/>
  <c r="Z27" i="12"/>
  <c r="X4" i="12"/>
  <c r="X8" i="12"/>
  <c r="X12" i="12"/>
  <c r="X16" i="12"/>
  <c r="X20" i="12"/>
  <c r="X24" i="12"/>
  <c r="X28" i="12"/>
  <c r="X32" i="12"/>
  <c r="Z22" i="12"/>
  <c r="Z15" i="12"/>
  <c r="Z30" i="12"/>
  <c r="Y15" i="12"/>
  <c r="Y25" i="12"/>
  <c r="AA3" i="12"/>
  <c r="N10" i="12"/>
  <c r="Z11" i="12"/>
  <c r="N30" i="12"/>
  <c r="N9" i="12"/>
  <c r="P27" i="12"/>
  <c r="P14" i="12"/>
  <c r="AB19" i="12"/>
  <c r="X18" i="12"/>
  <c r="AB16" i="12"/>
  <c r="Y11" i="12"/>
  <c r="AA6" i="12"/>
  <c r="N29" i="12"/>
  <c r="N8" i="12"/>
  <c r="O11" i="12"/>
  <c r="P3" i="12"/>
  <c r="Z26" i="12"/>
  <c r="Y21" i="12"/>
  <c r="X11" i="12"/>
  <c r="Z6" i="12"/>
  <c r="AC5" i="12"/>
  <c r="AC9" i="12"/>
  <c r="AC13" i="12"/>
  <c r="AC17" i="12"/>
  <c r="AC21" i="12"/>
  <c r="AC25" i="12"/>
  <c r="AC29" i="12"/>
  <c r="N28" i="12"/>
  <c r="O10" i="12"/>
  <c r="P26" i="12"/>
  <c r="P13" i="12"/>
  <c r="AC32" i="12"/>
  <c r="Y29" i="12"/>
  <c r="AC27" i="12"/>
  <c r="Y26" i="12"/>
  <c r="AC24" i="12"/>
  <c r="X21" i="12"/>
  <c r="AC7" i="12"/>
  <c r="AC4" i="12"/>
  <c r="AA5" i="12"/>
  <c r="AA9" i="12"/>
  <c r="AA13" i="12"/>
  <c r="AA17" i="12"/>
  <c r="AA21" i="12"/>
  <c r="AA25" i="12"/>
  <c r="AA29" i="12"/>
  <c r="AA4" i="12"/>
  <c r="AA8" i="12"/>
  <c r="AA16" i="12"/>
  <c r="AA20" i="12"/>
  <c r="AA32" i="12"/>
  <c r="AA24" i="12"/>
  <c r="AA7" i="12"/>
  <c r="Z5" i="12"/>
  <c r="Z9" i="12"/>
  <c r="Z13" i="12"/>
  <c r="Z17" i="12"/>
  <c r="Z21" i="12"/>
  <c r="Z25" i="12"/>
  <c r="Z29" i="12"/>
  <c r="Z4" i="12"/>
  <c r="Z8" i="12"/>
  <c r="Z12" i="12"/>
  <c r="Z16" i="12"/>
  <c r="Z20" i="12"/>
  <c r="Z24" i="12"/>
  <c r="Z28" i="12"/>
  <c r="Z32" i="12"/>
  <c r="Y4" i="12"/>
  <c r="Y8" i="12"/>
  <c r="Y12" i="12"/>
  <c r="Y16" i="12"/>
  <c r="Y20" i="12"/>
  <c r="Y24" i="12"/>
  <c r="Y28" i="12"/>
  <c r="Y32" i="12"/>
  <c r="Y7" i="12"/>
  <c r="X27" i="12"/>
  <c r="AA22" i="12"/>
  <c r="AA15" i="12"/>
  <c r="Y30" i="12"/>
  <c r="X15" i="12"/>
  <c r="Y5" i="12"/>
  <c r="N18" i="12"/>
  <c r="N19" i="12"/>
  <c r="N4" i="12"/>
  <c r="N20" i="12"/>
  <c r="N5" i="12"/>
  <c r="N21" i="12"/>
  <c r="N6" i="12"/>
  <c r="N22" i="12"/>
  <c r="N31" i="12"/>
  <c r="X31" i="12"/>
  <c r="Y18" i="12"/>
  <c r="AA26" i="12"/>
  <c r="AB5" i="12"/>
  <c r="AB9" i="12"/>
  <c r="AB13" i="12"/>
  <c r="AB17" i="12"/>
  <c r="AB21" i="12"/>
  <c r="AB25" i="12"/>
  <c r="AB29" i="12"/>
  <c r="N27" i="12"/>
  <c r="O30" i="12"/>
  <c r="O9" i="12"/>
  <c r="AB32" i="12"/>
  <c r="X29" i="12"/>
  <c r="AB27" i="12"/>
  <c r="X26" i="12"/>
  <c r="AB24" i="12"/>
  <c r="Y19" i="12"/>
  <c r="AA14" i="12"/>
  <c r="AB7" i="12"/>
  <c r="X6" i="12"/>
  <c r="AB4" i="12"/>
  <c r="Q32" i="12"/>
  <c r="Q24" i="12"/>
  <c r="Q16" i="12"/>
  <c r="Q8" i="12"/>
  <c r="Q31" i="12"/>
  <c r="Q23" i="12"/>
  <c r="Q15" i="12"/>
  <c r="W32" i="12"/>
  <c r="W28" i="12"/>
  <c r="W24" i="12"/>
  <c r="W20" i="12"/>
  <c r="W16" i="12"/>
  <c r="W12" i="12"/>
  <c r="W8" i="12"/>
  <c r="V24" i="12"/>
  <c r="V20" i="12"/>
  <c r="V16" i="12"/>
  <c r="V12" i="12"/>
  <c r="V8" i="12"/>
  <c r="J360" i="3"/>
  <c r="J378" i="3" s="1"/>
  <c r="J396" i="3" s="1"/>
  <c r="J414" i="3" s="1"/>
  <c r="J432" i="3" s="1"/>
  <c r="J450" i="3" s="1"/>
  <c r="J468" i="3" s="1"/>
  <c r="J486" i="3" s="1"/>
  <c r="J504" i="3" s="1"/>
  <c r="J522" i="3" s="1"/>
  <c r="J540" i="3" s="1"/>
  <c r="J304" i="3"/>
  <c r="J322" i="3" s="1"/>
  <c r="J340" i="3" s="1"/>
  <c r="J358" i="3" s="1"/>
  <c r="J376" i="3" s="1"/>
  <c r="J394" i="3" s="1"/>
  <c r="J412" i="3" s="1"/>
  <c r="J430" i="3" s="1"/>
  <c r="J448" i="3" s="1"/>
  <c r="J466" i="3" s="1"/>
  <c r="J484" i="3" s="1"/>
  <c r="J502" i="3" s="1"/>
  <c r="J520" i="3" s="1"/>
  <c r="J538" i="3" s="1"/>
  <c r="J198" i="3"/>
  <c r="J216" i="3" s="1"/>
  <c r="J234" i="3" s="1"/>
  <c r="J252" i="3" s="1"/>
  <c r="J270" i="3" s="1"/>
  <c r="J288" i="3" s="1"/>
  <c r="J306" i="3" s="1"/>
  <c r="J324" i="3" s="1"/>
  <c r="J342" i="3" s="1"/>
  <c r="J186" i="3"/>
  <c r="J204" i="3" s="1"/>
  <c r="J222" i="3" s="1"/>
  <c r="J240" i="3" s="1"/>
  <c r="J258" i="3" s="1"/>
  <c r="J276" i="3" s="1"/>
  <c r="J294" i="3" s="1"/>
  <c r="J312" i="3" s="1"/>
  <c r="J330" i="3" s="1"/>
  <c r="J348" i="3" s="1"/>
  <c r="J366" i="3" s="1"/>
  <c r="J384" i="3" s="1"/>
  <c r="J402" i="3" s="1"/>
  <c r="J420" i="3" s="1"/>
  <c r="J438" i="3" s="1"/>
  <c r="J456" i="3" s="1"/>
  <c r="J474" i="3" s="1"/>
  <c r="J492" i="3" s="1"/>
  <c r="J510" i="3" s="1"/>
  <c r="J528" i="3" s="1"/>
  <c r="J184" i="3"/>
  <c r="J202" i="3" s="1"/>
  <c r="J220" i="3" s="1"/>
  <c r="J238" i="3" s="1"/>
  <c r="J256" i="3" s="1"/>
  <c r="J274" i="3" s="1"/>
  <c r="J292" i="3" s="1"/>
  <c r="J310" i="3" s="1"/>
  <c r="J328" i="3" s="1"/>
  <c r="J346" i="3" s="1"/>
  <c r="J364" i="3" s="1"/>
  <c r="J382" i="3" s="1"/>
  <c r="J400" i="3" s="1"/>
  <c r="J418" i="3" s="1"/>
  <c r="J436" i="3" s="1"/>
  <c r="J454" i="3" s="1"/>
  <c r="J472" i="3" s="1"/>
  <c r="J490" i="3" s="1"/>
  <c r="J508" i="3" s="1"/>
  <c r="J526" i="3" s="1"/>
  <c r="J176" i="3"/>
  <c r="J194" i="3" s="1"/>
  <c r="J212" i="3" s="1"/>
  <c r="J230" i="3" s="1"/>
  <c r="J248" i="3" s="1"/>
  <c r="J266" i="3" s="1"/>
  <c r="J284" i="3" s="1"/>
  <c r="J302" i="3" s="1"/>
  <c r="J320" i="3" s="1"/>
  <c r="J338" i="3" s="1"/>
  <c r="J356" i="3" s="1"/>
  <c r="J374" i="3" s="1"/>
  <c r="J392" i="3" s="1"/>
  <c r="J410" i="3" s="1"/>
  <c r="J428" i="3" s="1"/>
  <c r="J446" i="3" s="1"/>
  <c r="J464" i="3" s="1"/>
  <c r="J482" i="3" s="1"/>
  <c r="J500" i="3" s="1"/>
  <c r="J518" i="3" s="1"/>
  <c r="J536" i="3" s="1"/>
  <c r="J134" i="3"/>
  <c r="J152" i="3" s="1"/>
  <c r="J170" i="3" s="1"/>
  <c r="J188" i="3" s="1"/>
  <c r="J206" i="3" s="1"/>
  <c r="J224" i="3" s="1"/>
  <c r="J242" i="3" s="1"/>
  <c r="J260" i="3" s="1"/>
  <c r="J278" i="3" s="1"/>
  <c r="J296" i="3" s="1"/>
  <c r="J314" i="3" s="1"/>
  <c r="J332" i="3" s="1"/>
  <c r="J350" i="3" s="1"/>
  <c r="J368" i="3" s="1"/>
  <c r="J386" i="3" s="1"/>
  <c r="J404" i="3" s="1"/>
  <c r="J422" i="3" s="1"/>
  <c r="J440" i="3" s="1"/>
  <c r="J458" i="3" s="1"/>
  <c r="J476" i="3" s="1"/>
  <c r="J494" i="3" s="1"/>
  <c r="J512" i="3" s="1"/>
  <c r="J530" i="3" s="1"/>
  <c r="J132" i="3"/>
  <c r="J150" i="3" s="1"/>
  <c r="J168" i="3" s="1"/>
  <c r="J126" i="3"/>
  <c r="J144" i="3" s="1"/>
  <c r="J162" i="3" s="1"/>
  <c r="J180" i="3" s="1"/>
  <c r="J120" i="3"/>
  <c r="J138" i="3" s="1"/>
  <c r="J156" i="3" s="1"/>
  <c r="J174" i="3" s="1"/>
  <c r="J192" i="3" s="1"/>
  <c r="J210" i="3" s="1"/>
  <c r="J228" i="3" s="1"/>
  <c r="J246" i="3" s="1"/>
  <c r="J264" i="3" s="1"/>
  <c r="J282" i="3" s="1"/>
  <c r="J300" i="3" s="1"/>
  <c r="J318" i="3" s="1"/>
  <c r="J336" i="3" s="1"/>
  <c r="J354" i="3" s="1"/>
  <c r="J372" i="3" s="1"/>
  <c r="J390" i="3" s="1"/>
  <c r="J408" i="3" s="1"/>
  <c r="J426" i="3" s="1"/>
  <c r="J444" i="3" s="1"/>
  <c r="J462" i="3" s="1"/>
  <c r="J480" i="3" s="1"/>
  <c r="J498" i="3" s="1"/>
  <c r="J516" i="3" s="1"/>
  <c r="J534" i="3" s="1"/>
  <c r="J90" i="3"/>
  <c r="J108" i="3" s="1"/>
  <c r="J88" i="3"/>
  <c r="J106" i="3" s="1"/>
  <c r="J124" i="3" s="1"/>
  <c r="J142" i="3" s="1"/>
  <c r="J160" i="3" s="1"/>
  <c r="J178" i="3" s="1"/>
  <c r="J196" i="3" s="1"/>
  <c r="J214" i="3" s="1"/>
  <c r="J232" i="3" s="1"/>
  <c r="J250" i="3" s="1"/>
  <c r="J268" i="3" s="1"/>
  <c r="J286" i="3" s="1"/>
  <c r="J86" i="3"/>
  <c r="J104" i="3" s="1"/>
  <c r="J122" i="3" s="1"/>
  <c r="J140" i="3" s="1"/>
  <c r="J158" i="3" s="1"/>
  <c r="J84" i="3"/>
  <c r="J102" i="3" s="1"/>
  <c r="J82" i="3"/>
  <c r="J100" i="3" s="1"/>
  <c r="J118" i="3" s="1"/>
  <c r="J136" i="3" s="1"/>
  <c r="J154" i="3" s="1"/>
  <c r="J172" i="3" s="1"/>
  <c r="J190" i="3" s="1"/>
  <c r="J208" i="3" s="1"/>
  <c r="J226" i="3" s="1"/>
  <c r="J244" i="3" s="1"/>
  <c r="J262" i="3" s="1"/>
  <c r="J280" i="3" s="1"/>
  <c r="J298" i="3" s="1"/>
  <c r="J316" i="3" s="1"/>
  <c r="J334" i="3" s="1"/>
  <c r="J352" i="3" s="1"/>
  <c r="J370" i="3" s="1"/>
  <c r="J388" i="3" s="1"/>
  <c r="J406" i="3" s="1"/>
  <c r="J424" i="3" s="1"/>
  <c r="J442" i="3" s="1"/>
  <c r="J460" i="3" s="1"/>
  <c r="J478" i="3" s="1"/>
  <c r="J496" i="3" s="1"/>
  <c r="J514" i="3" s="1"/>
  <c r="J532" i="3" s="1"/>
  <c r="J80" i="3"/>
  <c r="J98" i="3" s="1"/>
  <c r="J116" i="3" s="1"/>
  <c r="J78" i="3"/>
  <c r="J96" i="3" s="1"/>
  <c r="J114" i="3" s="1"/>
  <c r="J76" i="3"/>
  <c r="J94" i="3" s="1"/>
  <c r="J112" i="3" s="1"/>
  <c r="J130" i="3" s="1"/>
  <c r="J148" i="3" s="1"/>
  <c r="J166" i="3" s="1"/>
  <c r="J72" i="3"/>
  <c r="J70" i="3"/>
  <c r="J68" i="3"/>
  <c r="J66" i="3"/>
  <c r="J64" i="3"/>
  <c r="J62" i="3"/>
  <c r="J60" i="3"/>
  <c r="J58" i="3"/>
  <c r="J56" i="3"/>
  <c r="J74" i="3" s="1"/>
  <c r="J92" i="3" s="1"/>
  <c r="J110" i="3" s="1"/>
  <c r="J128" i="3" s="1"/>
  <c r="J146" i="3" s="1"/>
  <c r="J164" i="3" s="1"/>
  <c r="J182" i="3" s="1"/>
  <c r="J200" i="3" s="1"/>
  <c r="J218" i="3" s="1"/>
  <c r="J236" i="3" s="1"/>
  <c r="J254" i="3" s="1"/>
  <c r="J272" i="3" s="1"/>
  <c r="J290" i="3" s="1"/>
  <c r="J308" i="3" s="1"/>
  <c r="J326" i="3" s="1"/>
  <c r="J344" i="3" s="1"/>
  <c r="J362" i="3" s="1"/>
  <c r="J380" i="3" s="1"/>
  <c r="J398" i="3" s="1"/>
  <c r="J416" i="3" s="1"/>
  <c r="J434" i="3" s="1"/>
  <c r="J452" i="3" s="1"/>
  <c r="J470" i="3" s="1"/>
  <c r="J488" i="3" s="1"/>
  <c r="J506" i="3" s="1"/>
  <c r="J524" i="3" s="1"/>
  <c r="F31" i="7"/>
  <c r="E31" i="7"/>
  <c r="F30" i="7"/>
  <c r="E30" i="7"/>
  <c r="F29" i="7"/>
  <c r="E29" i="7"/>
  <c r="F28" i="7"/>
  <c r="E28" i="7"/>
  <c r="F27" i="7"/>
  <c r="E27" i="7"/>
  <c r="B29" i="5" s="1"/>
  <c r="P29" i="5" s="1"/>
  <c r="F26" i="7"/>
  <c r="E26" i="7"/>
  <c r="F25" i="7"/>
  <c r="E25" i="7"/>
  <c r="F24" i="7"/>
  <c r="F26" i="5" s="1"/>
  <c r="E24" i="7"/>
  <c r="F23" i="7"/>
  <c r="F25" i="5" s="1"/>
  <c r="E23" i="7"/>
  <c r="F22" i="7"/>
  <c r="E22" i="7"/>
  <c r="F21" i="7"/>
  <c r="F23" i="15" s="1"/>
  <c r="E21" i="7"/>
  <c r="F20" i="7"/>
  <c r="E20" i="7"/>
  <c r="F19" i="7"/>
  <c r="E19" i="7"/>
  <c r="D21" i="15" s="1"/>
  <c r="F18" i="7"/>
  <c r="E18" i="7"/>
  <c r="F17" i="7"/>
  <c r="E17" i="7"/>
  <c r="B19" i="5" s="1"/>
  <c r="AT19" i="5" s="1"/>
  <c r="F16" i="7"/>
  <c r="F18" i="15" s="1"/>
  <c r="E16" i="7"/>
  <c r="D18" i="15" s="1"/>
  <c r="F15" i="7"/>
  <c r="F17" i="15" s="1"/>
  <c r="E15" i="7"/>
  <c r="F14" i="7"/>
  <c r="F16" i="15" s="1"/>
  <c r="E14" i="7"/>
  <c r="F13" i="7"/>
  <c r="E13" i="7"/>
  <c r="D15" i="15" s="1"/>
  <c r="F12" i="7"/>
  <c r="E12" i="7"/>
  <c r="F11" i="7"/>
  <c r="E11" i="7"/>
  <c r="D13" i="15" s="1"/>
  <c r="F10" i="7"/>
  <c r="E10" i="7"/>
  <c r="F9" i="7"/>
  <c r="E9" i="7"/>
  <c r="B11" i="5" s="1"/>
  <c r="F8" i="7"/>
  <c r="F10" i="5" s="1"/>
  <c r="E8" i="7"/>
  <c r="D10" i="15" s="1"/>
  <c r="F7" i="7"/>
  <c r="E7" i="7"/>
  <c r="F6" i="7"/>
  <c r="E6" i="7"/>
  <c r="F5" i="7"/>
  <c r="F7" i="15" s="1"/>
  <c r="E5" i="7"/>
  <c r="D7" i="15" s="1"/>
  <c r="F4" i="7"/>
  <c r="E4" i="7"/>
  <c r="F3" i="7"/>
  <c r="E3" i="7"/>
  <c r="B5" i="5" s="1"/>
  <c r="AT5" i="5" s="1"/>
  <c r="F2" i="7"/>
  <c r="E2" i="7"/>
  <c r="AE180" i="16"/>
  <c r="AC180" i="16"/>
  <c r="M180" i="16"/>
  <c r="AE179" i="16"/>
  <c r="AC179" i="16"/>
  <c r="AE178" i="16"/>
  <c r="AC178" i="16"/>
  <c r="M178" i="16"/>
  <c r="AE177" i="16"/>
  <c r="AC177" i="16"/>
  <c r="AE176" i="16"/>
  <c r="AC176" i="16"/>
  <c r="M176" i="16"/>
  <c r="AE175" i="16"/>
  <c r="AC175" i="16"/>
  <c r="AE174" i="16"/>
  <c r="AC174" i="16"/>
  <c r="M174" i="16"/>
  <c r="AE173" i="16"/>
  <c r="AC173" i="16"/>
  <c r="AE172" i="16"/>
  <c r="AC172" i="16"/>
  <c r="M172" i="16"/>
  <c r="AE171" i="16"/>
  <c r="AC171" i="16"/>
  <c r="AE170" i="16"/>
  <c r="AC170" i="16"/>
  <c r="M170" i="16"/>
  <c r="AE169" i="16"/>
  <c r="AC169" i="16"/>
  <c r="AE168" i="16"/>
  <c r="AC168" i="16"/>
  <c r="M168" i="16"/>
  <c r="AE167" i="16"/>
  <c r="AC167" i="16"/>
  <c r="AE166" i="16"/>
  <c r="AC166" i="16"/>
  <c r="M166" i="16"/>
  <c r="AE165" i="16"/>
  <c r="AC165" i="16"/>
  <c r="AE164" i="16"/>
  <c r="AC164" i="16"/>
  <c r="M164" i="16"/>
  <c r="AE163" i="16"/>
  <c r="AC163" i="16"/>
  <c r="AE162" i="16"/>
  <c r="AC162" i="16"/>
  <c r="M162" i="16"/>
  <c r="AE161" i="16"/>
  <c r="AC161" i="16"/>
  <c r="AE160" i="16"/>
  <c r="AC160" i="16"/>
  <c r="M160" i="16"/>
  <c r="AE159" i="16"/>
  <c r="AC159" i="16"/>
  <c r="AE158" i="16"/>
  <c r="AC158" i="16"/>
  <c r="M158" i="16"/>
  <c r="AE157" i="16"/>
  <c r="AC157" i="16"/>
  <c r="AE156" i="16"/>
  <c r="AC156" i="16"/>
  <c r="M156" i="16"/>
  <c r="AE155" i="16"/>
  <c r="AC155" i="16"/>
  <c r="AE154" i="16"/>
  <c r="AC154" i="16"/>
  <c r="M154" i="16"/>
  <c r="AE153" i="16"/>
  <c r="AC153" i="16"/>
  <c r="AE152" i="16"/>
  <c r="AC152" i="16"/>
  <c r="M152" i="16"/>
  <c r="AE151" i="16"/>
  <c r="AC151" i="16"/>
  <c r="AE150" i="16"/>
  <c r="AC150" i="16"/>
  <c r="M150" i="16"/>
  <c r="AE149" i="16"/>
  <c r="AC149" i="16"/>
  <c r="AE148" i="16"/>
  <c r="AC148" i="16"/>
  <c r="M148" i="16"/>
  <c r="AE147" i="16"/>
  <c r="AC147" i="16"/>
  <c r="AE146" i="16"/>
  <c r="AC146" i="16"/>
  <c r="M146" i="16"/>
  <c r="AE145" i="16"/>
  <c r="AC145" i="16"/>
  <c r="AE144" i="16"/>
  <c r="AC144" i="16"/>
  <c r="M144" i="16"/>
  <c r="AE143" i="16"/>
  <c r="AC143" i="16"/>
  <c r="AE142" i="16"/>
  <c r="AC142" i="16"/>
  <c r="M142" i="16"/>
  <c r="AE141" i="16"/>
  <c r="AC141" i="16"/>
  <c r="AE140" i="16"/>
  <c r="AC140" i="16"/>
  <c r="M140" i="16"/>
  <c r="AE139" i="16"/>
  <c r="AC139" i="16"/>
  <c r="AE138" i="16"/>
  <c r="AC138" i="16"/>
  <c r="M138" i="16"/>
  <c r="AE137" i="16"/>
  <c r="AC137" i="16"/>
  <c r="AE136" i="16"/>
  <c r="AC136" i="16"/>
  <c r="M136" i="16"/>
  <c r="AE135" i="16"/>
  <c r="AC135" i="16"/>
  <c r="AE134" i="16"/>
  <c r="AC134" i="16"/>
  <c r="M134" i="16"/>
  <c r="AE133" i="16"/>
  <c r="AC133" i="16"/>
  <c r="AE132" i="16"/>
  <c r="AC132" i="16"/>
  <c r="M132" i="16"/>
  <c r="AE131" i="16"/>
  <c r="AC131" i="16"/>
  <c r="AE130" i="16"/>
  <c r="AC130" i="16"/>
  <c r="M130" i="16"/>
  <c r="AE129" i="16"/>
  <c r="AC129" i="16"/>
  <c r="AE128" i="16"/>
  <c r="AC128" i="16"/>
  <c r="M128" i="16"/>
  <c r="AE127" i="16"/>
  <c r="AC127" i="16"/>
  <c r="AE126" i="16"/>
  <c r="AC126" i="16"/>
  <c r="M126" i="16"/>
  <c r="AE125" i="16"/>
  <c r="AC125" i="16"/>
  <c r="AE124" i="16"/>
  <c r="AC124" i="16"/>
  <c r="M124" i="16"/>
  <c r="AE123" i="16"/>
  <c r="AC123" i="16"/>
  <c r="AE122" i="16"/>
  <c r="AC122" i="16"/>
  <c r="M122" i="16"/>
  <c r="AE121" i="16"/>
  <c r="AC121" i="16"/>
  <c r="AE120" i="16"/>
  <c r="AC120" i="16"/>
  <c r="M120" i="16"/>
  <c r="AE119" i="16"/>
  <c r="AC119" i="16"/>
  <c r="AE118" i="16"/>
  <c r="AC118" i="16"/>
  <c r="M118" i="16"/>
  <c r="AE117" i="16"/>
  <c r="AC117" i="16"/>
  <c r="AE116" i="16"/>
  <c r="AC116" i="16"/>
  <c r="M116" i="16"/>
  <c r="AE115" i="16"/>
  <c r="AC115" i="16"/>
  <c r="AE114" i="16"/>
  <c r="AC114" i="16"/>
  <c r="M114" i="16"/>
  <c r="AE113" i="16"/>
  <c r="AC113" i="16"/>
  <c r="AE112" i="16"/>
  <c r="AC112" i="16"/>
  <c r="M112" i="16"/>
  <c r="AE111" i="16"/>
  <c r="AC111" i="16"/>
  <c r="AE110" i="16"/>
  <c r="AC110" i="16"/>
  <c r="M110" i="16"/>
  <c r="AE109" i="16"/>
  <c r="AC109" i="16"/>
  <c r="AE108" i="16"/>
  <c r="AC108" i="16"/>
  <c r="M108" i="16"/>
  <c r="AE107" i="16"/>
  <c r="AC107" i="16"/>
  <c r="AE106" i="16"/>
  <c r="AC106" i="16"/>
  <c r="M106" i="16"/>
  <c r="AE105" i="16"/>
  <c r="AC105" i="16"/>
  <c r="AE104" i="16"/>
  <c r="AC104" i="16"/>
  <c r="M104" i="16"/>
  <c r="AE103" i="16"/>
  <c r="AC103" i="16"/>
  <c r="AE102" i="16"/>
  <c r="AC102" i="16"/>
  <c r="M102" i="16"/>
  <c r="AE101" i="16"/>
  <c r="AC101" i="16"/>
  <c r="AE100" i="16"/>
  <c r="AC100" i="16"/>
  <c r="M100" i="16"/>
  <c r="AE99" i="16"/>
  <c r="AC99" i="16"/>
  <c r="AE98" i="16"/>
  <c r="AC98" i="16"/>
  <c r="M98" i="16"/>
  <c r="AE97" i="16"/>
  <c r="AC97" i="16"/>
  <c r="AE96" i="16"/>
  <c r="AC96" i="16"/>
  <c r="M96" i="16"/>
  <c r="AE95" i="16"/>
  <c r="AC95" i="16"/>
  <c r="AE94" i="16"/>
  <c r="AC94" i="16"/>
  <c r="M94" i="16"/>
  <c r="AE93" i="16"/>
  <c r="AC93" i="16"/>
  <c r="AE92" i="16"/>
  <c r="AC92" i="16"/>
  <c r="M92" i="16"/>
  <c r="AE91" i="16"/>
  <c r="AC91" i="16"/>
  <c r="AE90" i="16"/>
  <c r="AC90" i="16"/>
  <c r="M90" i="16"/>
  <c r="AE89" i="16"/>
  <c r="AC89" i="16"/>
  <c r="AE88" i="16"/>
  <c r="AC88" i="16"/>
  <c r="M88" i="16"/>
  <c r="AE87" i="16"/>
  <c r="AC87" i="16"/>
  <c r="AE86" i="16"/>
  <c r="AC86" i="16"/>
  <c r="M86" i="16"/>
  <c r="AE85" i="16"/>
  <c r="AC85" i="16"/>
  <c r="AE84" i="16"/>
  <c r="AC84" i="16"/>
  <c r="M84" i="16"/>
  <c r="AE83" i="16"/>
  <c r="AC83" i="16"/>
  <c r="AE82" i="16"/>
  <c r="AC82" i="16"/>
  <c r="M82" i="16"/>
  <c r="AE81" i="16"/>
  <c r="AC81" i="16"/>
  <c r="AE80" i="16"/>
  <c r="AC80" i="16"/>
  <c r="M80" i="16"/>
  <c r="AE79" i="16"/>
  <c r="AC79" i="16"/>
  <c r="AE78" i="16"/>
  <c r="AC78" i="16"/>
  <c r="M78" i="16"/>
  <c r="AE77" i="16"/>
  <c r="AC77" i="16"/>
  <c r="AE76" i="16"/>
  <c r="AC76" i="16"/>
  <c r="M76" i="16"/>
  <c r="AE75" i="16"/>
  <c r="AC75" i="16"/>
  <c r="AE74" i="16"/>
  <c r="AC74" i="16"/>
  <c r="M74" i="16"/>
  <c r="AE73" i="16"/>
  <c r="AC73" i="16"/>
  <c r="AE72" i="16"/>
  <c r="AC72" i="16"/>
  <c r="M72" i="16"/>
  <c r="AE71" i="16"/>
  <c r="AC71" i="16"/>
  <c r="AE70" i="16"/>
  <c r="AC70" i="16"/>
  <c r="M70" i="16"/>
  <c r="AE69" i="16"/>
  <c r="AC69" i="16"/>
  <c r="AE68" i="16"/>
  <c r="AC68" i="16"/>
  <c r="M68" i="16"/>
  <c r="AE67" i="16"/>
  <c r="AC67" i="16"/>
  <c r="AE66" i="16"/>
  <c r="AC66" i="16"/>
  <c r="M66" i="16"/>
  <c r="AE65" i="16"/>
  <c r="AC65" i="16"/>
  <c r="AE64" i="16"/>
  <c r="AC64" i="16"/>
  <c r="M64" i="16"/>
  <c r="AE63" i="16"/>
  <c r="AC63" i="16"/>
  <c r="AE62" i="16"/>
  <c r="AC62" i="16"/>
  <c r="M62" i="16"/>
  <c r="AE61" i="16"/>
  <c r="AC61" i="16"/>
  <c r="AE60" i="16"/>
  <c r="AC60" i="16"/>
  <c r="M60" i="16"/>
  <c r="AE59" i="16"/>
  <c r="AC59" i="16"/>
  <c r="AE58" i="16"/>
  <c r="AC58" i="16"/>
  <c r="M58" i="16"/>
  <c r="AE57" i="16"/>
  <c r="AC57" i="16"/>
  <c r="AE56" i="16"/>
  <c r="AC56" i="16"/>
  <c r="M56" i="16"/>
  <c r="AE55" i="16"/>
  <c r="AC55" i="16"/>
  <c r="AE54" i="16"/>
  <c r="AC54" i="16"/>
  <c r="M54" i="16"/>
  <c r="AE53" i="16"/>
  <c r="AC53" i="16"/>
  <c r="AE52" i="16"/>
  <c r="AC52" i="16"/>
  <c r="M52" i="16"/>
  <c r="AE51" i="16"/>
  <c r="AC51" i="16"/>
  <c r="AE50" i="16"/>
  <c r="AC50" i="16"/>
  <c r="M50" i="16"/>
  <c r="AE49" i="16"/>
  <c r="AC49" i="16"/>
  <c r="AE48" i="16"/>
  <c r="AC48" i="16"/>
  <c r="M48" i="16"/>
  <c r="AE47" i="16"/>
  <c r="AC47" i="16"/>
  <c r="AE46" i="16"/>
  <c r="AC46" i="16"/>
  <c r="M46" i="16"/>
  <c r="AE45" i="16"/>
  <c r="AC45" i="16"/>
  <c r="AE44" i="16"/>
  <c r="AC44" i="16"/>
  <c r="M44" i="16"/>
  <c r="AE43" i="16"/>
  <c r="AC43" i="16"/>
  <c r="AE42" i="16"/>
  <c r="AC42" i="16"/>
  <c r="M42" i="16"/>
  <c r="AE41" i="16"/>
  <c r="AC41" i="16"/>
  <c r="AE40" i="16"/>
  <c r="AC40" i="16"/>
  <c r="M40" i="16"/>
  <c r="AE39" i="16"/>
  <c r="AC39" i="16"/>
  <c r="AE38" i="16"/>
  <c r="AC38" i="16"/>
  <c r="M38" i="16"/>
  <c r="AE37" i="16"/>
  <c r="AC37" i="16"/>
  <c r="AE36" i="16"/>
  <c r="AC36" i="16"/>
  <c r="M36" i="16"/>
  <c r="AE35" i="16"/>
  <c r="AC35" i="16"/>
  <c r="AE34" i="16"/>
  <c r="AC34" i="16"/>
  <c r="M34" i="16"/>
  <c r="AE33" i="16"/>
  <c r="AC33" i="16"/>
  <c r="AE32" i="16"/>
  <c r="AC32" i="16"/>
  <c r="M32" i="16"/>
  <c r="AE31" i="16"/>
  <c r="AC31" i="16"/>
  <c r="AE30" i="16"/>
  <c r="AC30" i="16"/>
  <c r="M30" i="16"/>
  <c r="AE29" i="16"/>
  <c r="AC29" i="16"/>
  <c r="AE28" i="16"/>
  <c r="AC28" i="16"/>
  <c r="M28" i="16"/>
  <c r="AE27" i="16"/>
  <c r="AC27" i="16"/>
  <c r="AE26" i="16"/>
  <c r="AC26" i="16"/>
  <c r="M26" i="16"/>
  <c r="AE25" i="16"/>
  <c r="AC25" i="16"/>
  <c r="AE24" i="16"/>
  <c r="AC24" i="16"/>
  <c r="M24" i="16"/>
  <c r="AE23" i="16"/>
  <c r="AC23" i="16"/>
  <c r="AE22" i="16"/>
  <c r="AC22" i="16"/>
  <c r="M22" i="16"/>
  <c r="AE21" i="16"/>
  <c r="AC21" i="16"/>
  <c r="AE20" i="16"/>
  <c r="AC20" i="16"/>
  <c r="M20" i="16"/>
  <c r="AE19" i="16"/>
  <c r="AC19" i="16"/>
  <c r="AE18" i="16"/>
  <c r="AC18" i="16"/>
  <c r="M18" i="16"/>
  <c r="AE17" i="16"/>
  <c r="AC17" i="16"/>
  <c r="AE16" i="16"/>
  <c r="AC16" i="16"/>
  <c r="M16" i="16"/>
  <c r="AE15" i="16"/>
  <c r="AC15" i="16"/>
  <c r="AE14" i="16"/>
  <c r="AC14" i="16"/>
  <c r="M14" i="16"/>
  <c r="AE13" i="16"/>
  <c r="AC13" i="16"/>
  <c r="AE12" i="16"/>
  <c r="AC12" i="16"/>
  <c r="M12" i="16"/>
  <c r="AE11" i="16"/>
  <c r="AC11" i="16"/>
  <c r="AE10" i="16"/>
  <c r="AC10" i="16"/>
  <c r="M10" i="16"/>
  <c r="AE9" i="16"/>
  <c r="AC9" i="16"/>
  <c r="AE8" i="16"/>
  <c r="AC8" i="16"/>
  <c r="M8" i="16"/>
  <c r="AE7" i="16"/>
  <c r="AC7" i="16"/>
  <c r="AE6" i="16"/>
  <c r="AC6" i="16"/>
  <c r="M6" i="16"/>
  <c r="AE5" i="16"/>
  <c r="AC5" i="16"/>
  <c r="AE4" i="16"/>
  <c r="AC4" i="16"/>
  <c r="M4" i="16"/>
  <c r="AE3" i="16"/>
  <c r="AC3" i="16"/>
  <c r="AE2" i="16"/>
  <c r="AC2" i="16"/>
  <c r="M2" i="16"/>
  <c r="C33" i="15"/>
  <c r="C32" i="15"/>
  <c r="F31" i="15"/>
  <c r="D31" i="15"/>
  <c r="C31" i="15"/>
  <c r="F30" i="15"/>
  <c r="D30" i="15"/>
  <c r="C30" i="15"/>
  <c r="F29" i="15"/>
  <c r="D29" i="15"/>
  <c r="C29" i="15"/>
  <c r="F28" i="15"/>
  <c r="D28" i="15"/>
  <c r="C28" i="15"/>
  <c r="F27" i="15"/>
  <c r="D27" i="15"/>
  <c r="C27" i="15"/>
  <c r="F26" i="15"/>
  <c r="D26" i="15"/>
  <c r="C26" i="15"/>
  <c r="F25" i="15"/>
  <c r="D25" i="15"/>
  <c r="C25" i="15"/>
  <c r="C24" i="15"/>
  <c r="C23" i="15"/>
  <c r="F22" i="15"/>
  <c r="D22" i="15"/>
  <c r="C22" i="15"/>
  <c r="F21" i="15"/>
  <c r="C21" i="15"/>
  <c r="F20" i="15"/>
  <c r="D20" i="15"/>
  <c r="C20" i="15"/>
  <c r="F19" i="15"/>
  <c r="D19" i="15"/>
  <c r="C19" i="15"/>
  <c r="C18" i="15"/>
  <c r="D17" i="15"/>
  <c r="C17" i="15"/>
  <c r="C16" i="15"/>
  <c r="C15" i="15"/>
  <c r="F14" i="15"/>
  <c r="D14" i="15"/>
  <c r="C14" i="15"/>
  <c r="F13" i="15"/>
  <c r="C13" i="15"/>
  <c r="F12" i="15"/>
  <c r="D12" i="15"/>
  <c r="C12" i="15"/>
  <c r="F11" i="15"/>
  <c r="D11" i="15"/>
  <c r="C11" i="15"/>
  <c r="F10" i="15"/>
  <c r="C10" i="15"/>
  <c r="C9" i="15"/>
  <c r="C8" i="15"/>
  <c r="C7" i="15"/>
  <c r="F6" i="15"/>
  <c r="D6" i="15"/>
  <c r="C6" i="15"/>
  <c r="F5" i="15"/>
  <c r="D5" i="15"/>
  <c r="C5" i="15"/>
  <c r="F4" i="15"/>
  <c r="D4" i="15"/>
  <c r="C4" i="15"/>
  <c r="F33" i="14"/>
  <c r="E33" i="14"/>
  <c r="C33" i="14"/>
  <c r="G32" i="14"/>
  <c r="F32" i="14"/>
  <c r="E32" i="14"/>
  <c r="C32" i="14"/>
  <c r="G31" i="14"/>
  <c r="F31" i="14"/>
  <c r="E31" i="14"/>
  <c r="C31" i="14"/>
  <c r="S30" i="14"/>
  <c r="Q30" i="14"/>
  <c r="G30" i="14"/>
  <c r="C30" i="14"/>
  <c r="B30" i="14"/>
  <c r="Q29" i="14"/>
  <c r="E29" i="14"/>
  <c r="C29" i="14"/>
  <c r="O28" i="14"/>
  <c r="G28" i="14"/>
  <c r="F28" i="14"/>
  <c r="E28" i="14"/>
  <c r="D28" i="14"/>
  <c r="C28" i="14"/>
  <c r="B28" i="14"/>
  <c r="C27" i="14"/>
  <c r="G26" i="14"/>
  <c r="F26" i="14"/>
  <c r="E26" i="14"/>
  <c r="C26" i="14"/>
  <c r="D25" i="14"/>
  <c r="C25" i="14"/>
  <c r="R24" i="14"/>
  <c r="G24" i="14"/>
  <c r="F24" i="14"/>
  <c r="E24" i="14"/>
  <c r="C24" i="14"/>
  <c r="G23" i="14"/>
  <c r="C23" i="14"/>
  <c r="G22" i="14"/>
  <c r="F22" i="14"/>
  <c r="C22" i="14"/>
  <c r="E21" i="14"/>
  <c r="D21" i="14"/>
  <c r="C21" i="14"/>
  <c r="B21" i="14"/>
  <c r="C20" i="14"/>
  <c r="B20" i="14"/>
  <c r="G19" i="14"/>
  <c r="F19" i="14"/>
  <c r="E19" i="14"/>
  <c r="C19" i="14"/>
  <c r="S18" i="14"/>
  <c r="G18" i="14"/>
  <c r="F18" i="14"/>
  <c r="E18" i="14"/>
  <c r="C18" i="14"/>
  <c r="C17" i="14"/>
  <c r="G16" i="14"/>
  <c r="E16" i="14"/>
  <c r="C16" i="14"/>
  <c r="E15" i="14"/>
  <c r="C15" i="14"/>
  <c r="O14" i="14"/>
  <c r="C14" i="14"/>
  <c r="B14" i="14"/>
  <c r="E13" i="14"/>
  <c r="D13" i="14"/>
  <c r="C13" i="14"/>
  <c r="B13" i="14"/>
  <c r="D12" i="14"/>
  <c r="C12" i="14"/>
  <c r="B12" i="14"/>
  <c r="C11" i="14"/>
  <c r="F10" i="14"/>
  <c r="E10" i="14"/>
  <c r="C10" i="14"/>
  <c r="F9" i="14"/>
  <c r="C9" i="14"/>
  <c r="E8" i="14"/>
  <c r="C8" i="14"/>
  <c r="F7" i="14"/>
  <c r="E7" i="14"/>
  <c r="C7" i="14"/>
  <c r="G6" i="14"/>
  <c r="C6" i="14"/>
  <c r="P5" i="14"/>
  <c r="N5" i="14"/>
  <c r="E5" i="14"/>
  <c r="D5" i="14"/>
  <c r="C5" i="14"/>
  <c r="B5" i="14"/>
  <c r="C4" i="14"/>
  <c r="N31" i="2"/>
  <c r="U31" i="2" s="1"/>
  <c r="AA31" i="2" s="1"/>
  <c r="U30" i="2"/>
  <c r="AA30" i="2" s="1"/>
  <c r="N30" i="2"/>
  <c r="R30" i="2" s="1"/>
  <c r="X30" i="2" s="1"/>
  <c r="N29" i="2"/>
  <c r="U29" i="2" s="1"/>
  <c r="AA29" i="2" s="1"/>
  <c r="N28" i="2"/>
  <c r="AA27" i="2"/>
  <c r="X27" i="2"/>
  <c r="U27" i="2"/>
  <c r="R27" i="2"/>
  <c r="N27" i="2"/>
  <c r="X26" i="2"/>
  <c r="R26" i="2"/>
  <c r="N26" i="2"/>
  <c r="U26" i="2" s="1"/>
  <c r="AA26" i="2" s="1"/>
  <c r="U25" i="2"/>
  <c r="AA25" i="2" s="1"/>
  <c r="R25" i="2"/>
  <c r="X25" i="2" s="1"/>
  <c r="N25" i="2"/>
  <c r="U24" i="2"/>
  <c r="AA24" i="2" s="1"/>
  <c r="N24" i="2"/>
  <c r="R24" i="2" s="1"/>
  <c r="X24" i="2" s="1"/>
  <c r="N23" i="2"/>
  <c r="R23" i="2" s="1"/>
  <c r="X23" i="2" s="1"/>
  <c r="R22" i="2"/>
  <c r="X22" i="2" s="1"/>
  <c r="N22" i="2"/>
  <c r="U22" i="2" s="1"/>
  <c r="AA22" i="2" s="1"/>
  <c r="N21" i="2"/>
  <c r="R21" i="2" s="1"/>
  <c r="X21" i="2" s="1"/>
  <c r="N20" i="2"/>
  <c r="U20" i="2" s="1"/>
  <c r="AA20" i="2" s="1"/>
  <c r="U19" i="2"/>
  <c r="AA19" i="2" s="1"/>
  <c r="N19" i="2"/>
  <c r="R19" i="2" s="1"/>
  <c r="X19" i="2" s="1"/>
  <c r="N18" i="2"/>
  <c r="U18" i="2" s="1"/>
  <c r="AA18" i="2" s="1"/>
  <c r="N17" i="2"/>
  <c r="N16" i="2"/>
  <c r="U16" i="2" s="1"/>
  <c r="AA16" i="2" s="1"/>
  <c r="N15" i="2"/>
  <c r="AA14" i="2"/>
  <c r="X14" i="2"/>
  <c r="U14" i="2"/>
  <c r="N14" i="2"/>
  <c r="R14" i="2" s="1"/>
  <c r="N13" i="2"/>
  <c r="R13" i="2" s="1"/>
  <c r="X13" i="2" s="1"/>
  <c r="AA12" i="2"/>
  <c r="X12" i="2"/>
  <c r="U12" i="2"/>
  <c r="N12" i="2"/>
  <c r="R12" i="2" s="1"/>
  <c r="U11" i="2"/>
  <c r="AA11" i="2" s="1"/>
  <c r="R11" i="2"/>
  <c r="X11" i="2" s="1"/>
  <c r="N11" i="2"/>
  <c r="U10" i="2"/>
  <c r="AA10" i="2" s="1"/>
  <c r="N10" i="2"/>
  <c r="R10" i="2" s="1"/>
  <c r="X10" i="2" s="1"/>
  <c r="N9" i="2"/>
  <c r="U9" i="2" s="1"/>
  <c r="AA9" i="2" s="1"/>
  <c r="R8" i="2"/>
  <c r="X8" i="2" s="1"/>
  <c r="N8" i="2"/>
  <c r="U8" i="2" s="1"/>
  <c r="AA8" i="2" s="1"/>
  <c r="N7" i="2"/>
  <c r="N6" i="2"/>
  <c r="X5" i="2"/>
  <c r="U5" i="2"/>
  <c r="AA5" i="2" s="1"/>
  <c r="N5" i="2"/>
  <c r="R5" i="2" s="1"/>
  <c r="R4" i="2"/>
  <c r="X4" i="2" s="1"/>
  <c r="N4" i="2"/>
  <c r="U4" i="2" s="1"/>
  <c r="AA4" i="2" s="1"/>
  <c r="AA3" i="2"/>
  <c r="R3" i="2"/>
  <c r="X3" i="2" s="1"/>
  <c r="N3" i="2"/>
  <c r="U3" i="2" s="1"/>
  <c r="N2" i="2"/>
  <c r="U2" i="2" s="1"/>
  <c r="AA2" i="2" s="1"/>
  <c r="AU33" i="5"/>
  <c r="AQ33" i="5"/>
  <c r="AP33" i="5"/>
  <c r="AL33" i="5"/>
  <c r="Z33" i="5"/>
  <c r="I33" i="14" s="1"/>
  <c r="W33" i="5"/>
  <c r="V33" i="5"/>
  <c r="S33" i="5"/>
  <c r="O33" i="5"/>
  <c r="AO33" i="5" s="1"/>
  <c r="N33" i="5"/>
  <c r="J33" i="5" s="1"/>
  <c r="I33" i="5"/>
  <c r="Y33" i="5" s="1"/>
  <c r="K33" i="14" s="1"/>
  <c r="G33" i="5"/>
  <c r="E33" i="5"/>
  <c r="C33" i="5"/>
  <c r="AQ32" i="5"/>
  <c r="AL32" i="5"/>
  <c r="AF32" i="5"/>
  <c r="O32" i="14" s="1"/>
  <c r="AE32" i="5"/>
  <c r="Q32" i="14" s="1"/>
  <c r="W32" i="5"/>
  <c r="AP32" i="5" s="1"/>
  <c r="V32" i="5"/>
  <c r="R32" i="5"/>
  <c r="Q32" i="5"/>
  <c r="O32" i="5"/>
  <c r="AO32" i="5" s="1"/>
  <c r="N32" i="5"/>
  <c r="K32" i="5"/>
  <c r="AA32" i="5" s="1"/>
  <c r="L32" i="14" s="1"/>
  <c r="J32" i="5"/>
  <c r="Z32" i="5" s="1"/>
  <c r="I32" i="14" s="1"/>
  <c r="I32" i="5"/>
  <c r="Y32" i="5" s="1"/>
  <c r="K32" i="14" s="1"/>
  <c r="G32" i="5"/>
  <c r="E32" i="5"/>
  <c r="C32" i="5"/>
  <c r="AM31" i="5"/>
  <c r="AL31" i="5"/>
  <c r="W31" i="5"/>
  <c r="V31" i="5"/>
  <c r="O31" i="5"/>
  <c r="AO31" i="5" s="1"/>
  <c r="N31" i="5"/>
  <c r="J31" i="5" s="1"/>
  <c r="Z31" i="5" s="1"/>
  <c r="I31" i="14" s="1"/>
  <c r="G31" i="5"/>
  <c r="F31" i="5"/>
  <c r="E31" i="5"/>
  <c r="C31" i="5"/>
  <c r="B31" i="5"/>
  <c r="AW30" i="5"/>
  <c r="AV30" i="5"/>
  <c r="AU30" i="5"/>
  <c r="AT30" i="5"/>
  <c r="AR30" i="5"/>
  <c r="AQ30" i="5"/>
  <c r="AI30" i="5"/>
  <c r="AE30" i="5"/>
  <c r="AC30" i="5"/>
  <c r="M30" i="14" s="1"/>
  <c r="W30" i="5"/>
  <c r="AP30" i="5" s="1"/>
  <c r="V30" i="5"/>
  <c r="U30" i="5"/>
  <c r="Q30" i="5"/>
  <c r="O30" i="5"/>
  <c r="AO30" i="5" s="1"/>
  <c r="N30" i="5"/>
  <c r="AL30" i="5" s="1"/>
  <c r="M30" i="5"/>
  <c r="J30" i="5"/>
  <c r="Z30" i="5" s="1"/>
  <c r="I30" i="14" s="1"/>
  <c r="I30" i="5"/>
  <c r="Y30" i="5" s="1"/>
  <c r="K30" i="14" s="1"/>
  <c r="G30" i="5"/>
  <c r="F30" i="5"/>
  <c r="E30" i="5"/>
  <c r="C30" i="5"/>
  <c r="E30" i="14" s="1"/>
  <c r="B30" i="5"/>
  <c r="AU29" i="5"/>
  <c r="AR29" i="5"/>
  <c r="AQ29" i="5"/>
  <c r="AO29" i="5"/>
  <c r="AG29" i="5"/>
  <c r="R29" i="14" s="1"/>
  <c r="AA29" i="5"/>
  <c r="L29" i="14" s="1"/>
  <c r="Z29" i="5"/>
  <c r="I29" i="14" s="1"/>
  <c r="W29" i="5"/>
  <c r="V29" i="5"/>
  <c r="R29" i="5" s="1"/>
  <c r="AF29" i="5" s="1"/>
  <c r="O29" i="14" s="1"/>
  <c r="S29" i="5"/>
  <c r="Q29" i="5"/>
  <c r="AE29" i="5" s="1"/>
  <c r="O29" i="5"/>
  <c r="K29" i="5" s="1"/>
  <c r="N29" i="5"/>
  <c r="AL29" i="5" s="1"/>
  <c r="J29" i="5"/>
  <c r="I29" i="5"/>
  <c r="Y29" i="5" s="1"/>
  <c r="K29" i="14" s="1"/>
  <c r="H29" i="5"/>
  <c r="G29" i="5"/>
  <c r="F29" i="5"/>
  <c r="E29" i="5"/>
  <c r="F29" i="14" s="1"/>
  <c r="C29" i="5"/>
  <c r="AV28" i="5"/>
  <c r="AU28" i="5"/>
  <c r="AT28" i="5"/>
  <c r="AS28" i="5"/>
  <c r="AN28" i="5"/>
  <c r="AF28" i="5"/>
  <c r="W28" i="5"/>
  <c r="AQ28" i="5" s="1"/>
  <c r="V28" i="5"/>
  <c r="R28" i="5" s="1"/>
  <c r="U28" i="5"/>
  <c r="AI28" i="5" s="1"/>
  <c r="S28" i="14" s="1"/>
  <c r="T28" i="5"/>
  <c r="S28" i="5"/>
  <c r="P28" i="5"/>
  <c r="O28" i="5"/>
  <c r="N28" i="5"/>
  <c r="AM28" i="5" s="1"/>
  <c r="J28" i="5"/>
  <c r="Z28" i="5" s="1"/>
  <c r="I28" i="14" s="1"/>
  <c r="G28" i="5"/>
  <c r="AW28" i="5" s="1"/>
  <c r="F28" i="5"/>
  <c r="E28" i="5"/>
  <c r="C28" i="5"/>
  <c r="B28" i="5"/>
  <c r="AQ27" i="5"/>
  <c r="AP27" i="5"/>
  <c r="AO27" i="5"/>
  <c r="AL27" i="5"/>
  <c r="Z27" i="5"/>
  <c r="I27" i="14" s="1"/>
  <c r="W27" i="5"/>
  <c r="V27" i="5"/>
  <c r="R27" i="5"/>
  <c r="AF27" i="5" s="1"/>
  <c r="O27" i="14" s="1"/>
  <c r="O27" i="5"/>
  <c r="N27" i="5"/>
  <c r="J27" i="5"/>
  <c r="G27" i="5"/>
  <c r="F27" i="5"/>
  <c r="E27" i="5"/>
  <c r="C27" i="5"/>
  <c r="B27" i="5"/>
  <c r="AW26" i="5"/>
  <c r="AN26" i="5"/>
  <c r="Z26" i="5"/>
  <c r="I26" i="14" s="1"/>
  <c r="Y26" i="5"/>
  <c r="K26" i="14" s="1"/>
  <c r="W26" i="5"/>
  <c r="V26" i="5"/>
  <c r="R26" i="5"/>
  <c r="AF26" i="5" s="1"/>
  <c r="O26" i="14" s="1"/>
  <c r="Q26" i="5"/>
  <c r="AE26" i="5" s="1"/>
  <c r="Q26" i="14" s="1"/>
  <c r="O26" i="5"/>
  <c r="AO26" i="5" s="1"/>
  <c r="N26" i="5"/>
  <c r="AM26" i="5" s="1"/>
  <c r="J26" i="5"/>
  <c r="I26" i="5"/>
  <c r="G26" i="5"/>
  <c r="E26" i="5"/>
  <c r="C26" i="5"/>
  <c r="B26" i="5"/>
  <c r="H26" i="5" s="1"/>
  <c r="AO25" i="5"/>
  <c r="AN25" i="5"/>
  <c r="W25" i="5"/>
  <c r="V25" i="5"/>
  <c r="U25" i="5"/>
  <c r="S25" i="5"/>
  <c r="Q25" i="5"/>
  <c r="O25" i="5"/>
  <c r="N25" i="5"/>
  <c r="AL25" i="5" s="1"/>
  <c r="K25" i="5"/>
  <c r="J25" i="5"/>
  <c r="Z25" i="5" s="1"/>
  <c r="I25" i="14" s="1"/>
  <c r="G25" i="5"/>
  <c r="E25" i="5"/>
  <c r="C25" i="5"/>
  <c r="B25" i="5"/>
  <c r="AW24" i="5"/>
  <c r="AV24" i="5"/>
  <c r="AU24" i="5"/>
  <c r="AO24" i="5"/>
  <c r="AL24" i="5"/>
  <c r="Z24" i="5"/>
  <c r="I24" i="14" s="1"/>
  <c r="Y24" i="5"/>
  <c r="K24" i="14" s="1"/>
  <c r="W24" i="5"/>
  <c r="V24" i="5"/>
  <c r="AN24" i="5" s="1"/>
  <c r="S24" i="5"/>
  <c r="AG24" i="5" s="1"/>
  <c r="R24" i="5"/>
  <c r="AF24" i="5" s="1"/>
  <c r="O24" i="14" s="1"/>
  <c r="Q24" i="5"/>
  <c r="AE24" i="5" s="1"/>
  <c r="Q24" i="14" s="1"/>
  <c r="O24" i="5"/>
  <c r="N24" i="5"/>
  <c r="AM24" i="5" s="1"/>
  <c r="J24" i="5"/>
  <c r="I24" i="5"/>
  <c r="G24" i="5"/>
  <c r="E24" i="5"/>
  <c r="C24" i="5"/>
  <c r="AS23" i="5"/>
  <c r="AN23" i="5"/>
  <c r="AL23" i="5"/>
  <c r="Z23" i="5"/>
  <c r="I23" i="14" s="1"/>
  <c r="W23" i="5"/>
  <c r="V23" i="5"/>
  <c r="O23" i="5"/>
  <c r="AO23" i="5" s="1"/>
  <c r="N23" i="5"/>
  <c r="M23" i="5"/>
  <c r="J23" i="5"/>
  <c r="G23" i="5"/>
  <c r="F23" i="5"/>
  <c r="E23" i="5"/>
  <c r="C23" i="5"/>
  <c r="AS22" i="5"/>
  <c r="W22" i="5"/>
  <c r="AQ22" i="5" s="1"/>
  <c r="V22" i="5"/>
  <c r="AN22" i="5" s="1"/>
  <c r="U22" i="5"/>
  <c r="AI22" i="5" s="1"/>
  <c r="S22" i="14" s="1"/>
  <c r="T22" i="5"/>
  <c r="AH22" i="5" s="1"/>
  <c r="P22" i="14" s="1"/>
  <c r="S22" i="5"/>
  <c r="R22" i="5"/>
  <c r="AF22" i="5" s="1"/>
  <c r="O22" i="14" s="1"/>
  <c r="Q22" i="5"/>
  <c r="O22" i="5"/>
  <c r="AO22" i="5" s="1"/>
  <c r="N22" i="5"/>
  <c r="G22" i="5"/>
  <c r="F22" i="5"/>
  <c r="E22" i="5"/>
  <c r="C22" i="5"/>
  <c r="B22" i="5"/>
  <c r="AW21" i="5"/>
  <c r="AV21" i="5"/>
  <c r="AT21" i="5"/>
  <c r="AS21" i="5"/>
  <c r="AR21" i="5"/>
  <c r="AQ21" i="5"/>
  <c r="AP21" i="5"/>
  <c r="AO21" i="5"/>
  <c r="AM21" i="5"/>
  <c r="AH21" i="5"/>
  <c r="P21" i="14" s="1"/>
  <c r="AB21" i="5"/>
  <c r="J21" i="14" s="1"/>
  <c r="W21" i="5"/>
  <c r="Q21" i="5" s="1"/>
  <c r="AE21" i="5" s="1"/>
  <c r="Q21" i="14" s="1"/>
  <c r="V21" i="5"/>
  <c r="AN21" i="5" s="1"/>
  <c r="U21" i="5"/>
  <c r="T21" i="5"/>
  <c r="S21" i="5"/>
  <c r="R21" i="5"/>
  <c r="AF21" i="5" s="1"/>
  <c r="O21" i="14" s="1"/>
  <c r="O21" i="5"/>
  <c r="N21" i="5"/>
  <c r="AL21" i="5" s="1"/>
  <c r="L21" i="5"/>
  <c r="J21" i="5"/>
  <c r="Z21" i="5" s="1"/>
  <c r="I21" i="14" s="1"/>
  <c r="I21" i="5"/>
  <c r="Y21" i="5" s="1"/>
  <c r="K21" i="14" s="1"/>
  <c r="H21" i="5"/>
  <c r="G21" i="5"/>
  <c r="F21" i="5"/>
  <c r="E21" i="5"/>
  <c r="C21" i="5"/>
  <c r="B21" i="5"/>
  <c r="AR20" i="5"/>
  <c r="AN20" i="5"/>
  <c r="AM20" i="5"/>
  <c r="AL20" i="5"/>
  <c r="AF20" i="5"/>
  <c r="O20" i="14" s="1"/>
  <c r="AD20" i="5"/>
  <c r="N20" i="14" s="1"/>
  <c r="W20" i="5"/>
  <c r="AQ20" i="5" s="1"/>
  <c r="V20" i="5"/>
  <c r="R20" i="5"/>
  <c r="P20" i="5"/>
  <c r="O20" i="5"/>
  <c r="N20" i="5"/>
  <c r="J20" i="5" s="1"/>
  <c r="Z20" i="5" s="1"/>
  <c r="I20" i="14" s="1"/>
  <c r="H20" i="5"/>
  <c r="X20" i="5" s="1"/>
  <c r="H20" i="14" s="1"/>
  <c r="G20" i="5"/>
  <c r="F20" i="5"/>
  <c r="L20" i="5" s="1"/>
  <c r="E20" i="5"/>
  <c r="C20" i="5"/>
  <c r="B20" i="5"/>
  <c r="AS19" i="5"/>
  <c r="AR19" i="5"/>
  <c r="AQ19" i="5"/>
  <c r="AP19" i="5"/>
  <c r="AO19" i="5"/>
  <c r="AL19" i="5"/>
  <c r="AI19" i="5"/>
  <c r="S19" i="14" s="1"/>
  <c r="AE19" i="5"/>
  <c r="Q19" i="14" s="1"/>
  <c r="AC19" i="5"/>
  <c r="M19" i="14" s="1"/>
  <c r="AB19" i="5"/>
  <c r="J19" i="14" s="1"/>
  <c r="W19" i="5"/>
  <c r="V19" i="5"/>
  <c r="U19" i="5"/>
  <c r="R19" i="5"/>
  <c r="AF19" i="5" s="1"/>
  <c r="O19" i="14" s="1"/>
  <c r="Q19" i="5"/>
  <c r="O19" i="5"/>
  <c r="N19" i="5"/>
  <c r="M19" i="5"/>
  <c r="L19" i="5"/>
  <c r="K19" i="5"/>
  <c r="J19" i="5"/>
  <c r="Z19" i="5" s="1"/>
  <c r="I19" i="14" s="1"/>
  <c r="I19" i="5"/>
  <c r="G19" i="5"/>
  <c r="F19" i="5"/>
  <c r="E19" i="5"/>
  <c r="AU19" i="5" s="1"/>
  <c r="C19" i="5"/>
  <c r="Y19" i="5" s="1"/>
  <c r="K19" i="14" s="1"/>
  <c r="AV18" i="5"/>
  <c r="AL18" i="5"/>
  <c r="W18" i="5"/>
  <c r="V18" i="5"/>
  <c r="U18" i="5"/>
  <c r="AI18" i="5" s="1"/>
  <c r="S18" i="5"/>
  <c r="R18" i="5"/>
  <c r="AF18" i="5" s="1"/>
  <c r="O18" i="14" s="1"/>
  <c r="Q18" i="5"/>
  <c r="O18" i="5"/>
  <c r="AO18" i="5" s="1"/>
  <c r="N18" i="5"/>
  <c r="J18" i="5" s="1"/>
  <c r="Z18" i="5" s="1"/>
  <c r="I18" i="14" s="1"/>
  <c r="G18" i="5"/>
  <c r="E18" i="5"/>
  <c r="C18" i="5"/>
  <c r="B18" i="5"/>
  <c r="B18" i="14" s="1"/>
  <c r="AU17" i="5"/>
  <c r="AT17" i="5"/>
  <c r="AS17" i="5"/>
  <c r="AQ17" i="5"/>
  <c r="AN17" i="5"/>
  <c r="W17" i="5"/>
  <c r="V17" i="5"/>
  <c r="O17" i="5"/>
  <c r="AO17" i="5" s="1"/>
  <c r="N17" i="5"/>
  <c r="G17" i="5"/>
  <c r="F17" i="5"/>
  <c r="E17" i="5"/>
  <c r="F17" i="14" s="1"/>
  <c r="C17" i="5"/>
  <c r="B17" i="5"/>
  <c r="AQ16" i="5"/>
  <c r="AL16" i="5"/>
  <c r="AI16" i="5"/>
  <c r="S16" i="14" s="1"/>
  <c r="AE16" i="5"/>
  <c r="Q16" i="14" s="1"/>
  <c r="Z16" i="5"/>
  <c r="I16" i="14" s="1"/>
  <c r="Y16" i="5"/>
  <c r="K16" i="14" s="1"/>
  <c r="W16" i="5"/>
  <c r="V16" i="5"/>
  <c r="U16" i="5"/>
  <c r="Q16" i="5"/>
  <c r="O16" i="5"/>
  <c r="N16" i="5"/>
  <c r="J16" i="5"/>
  <c r="I16" i="5"/>
  <c r="G16" i="5"/>
  <c r="F16" i="5"/>
  <c r="E16" i="5"/>
  <c r="F16" i="14" s="1"/>
  <c r="C16" i="5"/>
  <c r="AW16" i="5" s="1"/>
  <c r="AQ15" i="5"/>
  <c r="AP15" i="5"/>
  <c r="W15" i="5"/>
  <c r="V15" i="5"/>
  <c r="U15" i="5"/>
  <c r="AI15" i="5" s="1"/>
  <c r="S15" i="14" s="1"/>
  <c r="S15" i="5"/>
  <c r="AG15" i="5" s="1"/>
  <c r="R15" i="14" s="1"/>
  <c r="Q15" i="5"/>
  <c r="AE15" i="5" s="1"/>
  <c r="Q15" i="14" s="1"/>
  <c r="O15" i="5"/>
  <c r="N15" i="5"/>
  <c r="G15" i="5"/>
  <c r="G15" i="14" s="1"/>
  <c r="E15" i="5"/>
  <c r="F15" i="14" s="1"/>
  <c r="C15" i="5"/>
  <c r="B15" i="5"/>
  <c r="AW14" i="5"/>
  <c r="AV14" i="5"/>
  <c r="AU14" i="5"/>
  <c r="AT14" i="5"/>
  <c r="AS14" i="5"/>
  <c r="AR14" i="5"/>
  <c r="AQ14" i="5"/>
  <c r="AP14" i="5"/>
  <c r="AO14" i="5"/>
  <c r="AL14" i="5"/>
  <c r="W14" i="5"/>
  <c r="V14" i="5"/>
  <c r="S14" i="5"/>
  <c r="R14" i="5"/>
  <c r="AF14" i="5" s="1"/>
  <c r="O14" i="5"/>
  <c r="N14" i="5"/>
  <c r="J14" i="5"/>
  <c r="Z14" i="5" s="1"/>
  <c r="I14" i="14" s="1"/>
  <c r="I14" i="5"/>
  <c r="Y14" i="5" s="1"/>
  <c r="K14" i="14" s="1"/>
  <c r="H14" i="5"/>
  <c r="X14" i="5" s="1"/>
  <c r="H14" i="14" s="1"/>
  <c r="G14" i="5"/>
  <c r="F14" i="5"/>
  <c r="E14" i="5"/>
  <c r="C14" i="5"/>
  <c r="B14" i="5"/>
  <c r="AW13" i="5"/>
  <c r="AU13" i="5"/>
  <c r="AQ13" i="5"/>
  <c r="AP13" i="5"/>
  <c r="AO13" i="5"/>
  <c r="AN13" i="5"/>
  <c r="AM13" i="5"/>
  <c r="AL13" i="5"/>
  <c r="AI13" i="5"/>
  <c r="S13" i="14" s="1"/>
  <c r="AH13" i="5"/>
  <c r="P13" i="14" s="1"/>
  <c r="AG13" i="5"/>
  <c r="R13" i="14" s="1"/>
  <c r="W13" i="5"/>
  <c r="V13" i="5"/>
  <c r="U13" i="5"/>
  <c r="T13" i="5"/>
  <c r="S13" i="5"/>
  <c r="R13" i="5"/>
  <c r="AF13" i="5" s="1"/>
  <c r="O13" i="14" s="1"/>
  <c r="Q13" i="5"/>
  <c r="P13" i="5"/>
  <c r="O13" i="5"/>
  <c r="N13" i="5"/>
  <c r="M13" i="5"/>
  <c r="AC13" i="5" s="1"/>
  <c r="M13" i="14" s="1"/>
  <c r="L13" i="5"/>
  <c r="AB13" i="5" s="1"/>
  <c r="J13" i="14" s="1"/>
  <c r="K13" i="5"/>
  <c r="AA13" i="5" s="1"/>
  <c r="L13" i="14" s="1"/>
  <c r="J13" i="5"/>
  <c r="Z13" i="5" s="1"/>
  <c r="I13" i="14" s="1"/>
  <c r="G13" i="5"/>
  <c r="F13" i="5"/>
  <c r="E13" i="5"/>
  <c r="F13" i="14" s="1"/>
  <c r="C13" i="5"/>
  <c r="B13" i="5"/>
  <c r="AQ12" i="5"/>
  <c r="AP12" i="5"/>
  <c r="AO12" i="5"/>
  <c r="AN12" i="5"/>
  <c r="AM12" i="5"/>
  <c r="AL12" i="5"/>
  <c r="W12" i="5"/>
  <c r="V12" i="5"/>
  <c r="R12" i="5"/>
  <c r="AF12" i="5" s="1"/>
  <c r="O12" i="14" s="1"/>
  <c r="Q12" i="5"/>
  <c r="O12" i="5"/>
  <c r="N12" i="5"/>
  <c r="J12" i="5"/>
  <c r="Z12" i="5" s="1"/>
  <c r="I12" i="14" s="1"/>
  <c r="G12" i="5"/>
  <c r="F12" i="5"/>
  <c r="E12" i="5"/>
  <c r="C12" i="5"/>
  <c r="B12" i="5"/>
  <c r="AN11" i="5"/>
  <c r="AF11" i="5"/>
  <c r="O11" i="14" s="1"/>
  <c r="AD11" i="5"/>
  <c r="N11" i="14" s="1"/>
  <c r="Z11" i="5"/>
  <c r="I11" i="14" s="1"/>
  <c r="W11" i="5"/>
  <c r="V11" i="5"/>
  <c r="R11" i="5" s="1"/>
  <c r="P11" i="5"/>
  <c r="O11" i="5"/>
  <c r="AO11" i="5" s="1"/>
  <c r="N11" i="5"/>
  <c r="AL11" i="5" s="1"/>
  <c r="J11" i="5"/>
  <c r="G11" i="5"/>
  <c r="F11" i="5"/>
  <c r="E11" i="5"/>
  <c r="C11" i="5"/>
  <c r="AV10" i="5"/>
  <c r="AQ10" i="5"/>
  <c r="AP10" i="5"/>
  <c r="AN10" i="5"/>
  <c r="AL10" i="5"/>
  <c r="W10" i="5"/>
  <c r="V10" i="5"/>
  <c r="AM10" i="5" s="1"/>
  <c r="S10" i="5"/>
  <c r="AG10" i="5" s="1"/>
  <c r="R10" i="14" s="1"/>
  <c r="R10" i="5"/>
  <c r="AF10" i="5" s="1"/>
  <c r="O10" i="14" s="1"/>
  <c r="Q10" i="5"/>
  <c r="O10" i="5"/>
  <c r="AO10" i="5" s="1"/>
  <c r="N10" i="5"/>
  <c r="K10" i="5"/>
  <c r="AA10" i="5" s="1"/>
  <c r="L10" i="14" s="1"/>
  <c r="J10" i="5"/>
  <c r="Z10" i="5" s="1"/>
  <c r="I10" i="14" s="1"/>
  <c r="G10" i="5"/>
  <c r="E10" i="5"/>
  <c r="C10" i="5"/>
  <c r="AU10" i="5" s="1"/>
  <c r="B10" i="5"/>
  <c r="AW9" i="5"/>
  <c r="AV9" i="5"/>
  <c r="AU9" i="5"/>
  <c r="AO9" i="5"/>
  <c r="AL9" i="5"/>
  <c r="W9" i="5"/>
  <c r="AP9" i="5" s="1"/>
  <c r="V9" i="5"/>
  <c r="U9" i="5"/>
  <c r="S9" i="5"/>
  <c r="Q9" i="5"/>
  <c r="O9" i="5"/>
  <c r="N9" i="5"/>
  <c r="J9" i="5"/>
  <c r="Z9" i="5" s="1"/>
  <c r="I9" i="14" s="1"/>
  <c r="G9" i="5"/>
  <c r="E9" i="5"/>
  <c r="C9" i="5"/>
  <c r="AV8" i="5"/>
  <c r="AU8" i="5"/>
  <c r="AO8" i="5"/>
  <c r="AN8" i="5"/>
  <c r="AG8" i="5"/>
  <c r="R8" i="14" s="1"/>
  <c r="AF8" i="5"/>
  <c r="O8" i="14" s="1"/>
  <c r="Y8" i="5"/>
  <c r="K8" i="14" s="1"/>
  <c r="W8" i="5"/>
  <c r="AQ8" i="5" s="1"/>
  <c r="V8" i="5"/>
  <c r="R8" i="5"/>
  <c r="Q8" i="5"/>
  <c r="O8" i="5"/>
  <c r="N8" i="5"/>
  <c r="M8" i="5"/>
  <c r="AC8" i="5" s="1"/>
  <c r="M8" i="14" s="1"/>
  <c r="K8" i="5"/>
  <c r="AA8" i="5" s="1"/>
  <c r="L8" i="14" s="1"/>
  <c r="I8" i="5"/>
  <c r="G8" i="5"/>
  <c r="E8" i="5"/>
  <c r="S8" i="5" s="1"/>
  <c r="C8" i="5"/>
  <c r="AR7" i="5"/>
  <c r="AQ7" i="5"/>
  <c r="AP7" i="5"/>
  <c r="AO7" i="5"/>
  <c r="AN7" i="5"/>
  <c r="AM7" i="5"/>
  <c r="AL7" i="5"/>
  <c r="AI7" i="5"/>
  <c r="S7" i="14" s="1"/>
  <c r="Z7" i="5"/>
  <c r="I7" i="14" s="1"/>
  <c r="W7" i="5"/>
  <c r="V7" i="5"/>
  <c r="U7" i="5"/>
  <c r="R7" i="5"/>
  <c r="AF7" i="5" s="1"/>
  <c r="O7" i="14" s="1"/>
  <c r="Q7" i="5"/>
  <c r="P7" i="5"/>
  <c r="O7" i="5"/>
  <c r="N7" i="5"/>
  <c r="J7" i="5"/>
  <c r="G7" i="5"/>
  <c r="G7" i="14" s="1"/>
  <c r="F7" i="5"/>
  <c r="E7" i="5"/>
  <c r="C7" i="5"/>
  <c r="B7" i="5"/>
  <c r="AO6" i="5"/>
  <c r="AC6" i="5"/>
  <c r="M6" i="14" s="1"/>
  <c r="W6" i="5"/>
  <c r="V6" i="5"/>
  <c r="O6" i="5"/>
  <c r="N6" i="5"/>
  <c r="AL6" i="5" s="1"/>
  <c r="M6" i="5"/>
  <c r="J6" i="5"/>
  <c r="Z6" i="5" s="1"/>
  <c r="I6" i="14" s="1"/>
  <c r="G6" i="5"/>
  <c r="F6" i="5"/>
  <c r="E6" i="5"/>
  <c r="C6" i="5"/>
  <c r="B6" i="5"/>
  <c r="AW5" i="5"/>
  <c r="AS5" i="5"/>
  <c r="AR5" i="5"/>
  <c r="AQ5" i="5"/>
  <c r="AP5" i="5"/>
  <c r="AH5" i="5"/>
  <c r="AE5" i="5"/>
  <c r="Q5" i="14" s="1"/>
  <c r="AD5" i="5"/>
  <c r="AC5" i="5"/>
  <c r="M5" i="14" s="1"/>
  <c r="AB5" i="5"/>
  <c r="J5" i="14" s="1"/>
  <c r="W5" i="5"/>
  <c r="V5" i="5"/>
  <c r="AN5" i="5" s="1"/>
  <c r="U5" i="5"/>
  <c r="T5" i="5"/>
  <c r="R5" i="5"/>
  <c r="AF5" i="5" s="1"/>
  <c r="O5" i="14" s="1"/>
  <c r="Q5" i="5"/>
  <c r="P5" i="5"/>
  <c r="O5" i="5"/>
  <c r="I5" i="5" s="1"/>
  <c r="Y5" i="5" s="1"/>
  <c r="K5" i="14" s="1"/>
  <c r="N5" i="5"/>
  <c r="M5" i="5"/>
  <c r="L5" i="5"/>
  <c r="K5" i="5"/>
  <c r="G5" i="5"/>
  <c r="F5" i="5"/>
  <c r="E5" i="5"/>
  <c r="AU5" i="5" s="1"/>
  <c r="C5" i="5"/>
  <c r="AW4" i="5"/>
  <c r="AV4" i="5"/>
  <c r="AU4" i="5"/>
  <c r="AS4" i="5"/>
  <c r="AO4" i="5"/>
  <c r="Z4" i="5"/>
  <c r="I4" i="14" s="1"/>
  <c r="W4" i="5"/>
  <c r="V4" i="5"/>
  <c r="U4" i="5"/>
  <c r="O4" i="5"/>
  <c r="N4" i="5"/>
  <c r="J4" i="5"/>
  <c r="G4" i="5"/>
  <c r="F4" i="5"/>
  <c r="E4" i="5"/>
  <c r="C4" i="5"/>
  <c r="B4" i="5"/>
  <c r="I8" i="18"/>
  <c r="I9" i="18" s="1"/>
  <c r="F8" i="18"/>
  <c r="F9" i="18" s="1"/>
  <c r="I6" i="18"/>
  <c r="I7" i="18" s="1"/>
  <c r="F6" i="18"/>
  <c r="F7" i="18" s="1"/>
  <c r="I4" i="18"/>
  <c r="I5" i="18" s="1"/>
  <c r="F4" i="18"/>
  <c r="I3" i="18"/>
  <c r="F3" i="18"/>
  <c r="T2" i="18"/>
  <c r="I2" i="18"/>
  <c r="F2" i="18"/>
  <c r="B8" i="13"/>
  <c r="C15" i="21" s="1"/>
  <c r="G12" i="14" l="1"/>
  <c r="AI12" i="5"/>
  <c r="S12" i="14" s="1"/>
  <c r="M12" i="5"/>
  <c r="AC12" i="5"/>
  <c r="M12" i="14" s="1"/>
  <c r="U12" i="5"/>
  <c r="AW12" i="5"/>
  <c r="AV12" i="5"/>
  <c r="J22" i="5"/>
  <c r="Z22" i="5" s="1"/>
  <c r="I22" i="14" s="1"/>
  <c r="L22" i="5"/>
  <c r="AL22" i="5"/>
  <c r="AP31" i="5"/>
  <c r="AQ31" i="5"/>
  <c r="AL8" i="5"/>
  <c r="J8" i="5"/>
  <c r="Z8" i="5" s="1"/>
  <c r="I8" i="14" s="1"/>
  <c r="X25" i="5"/>
  <c r="H25" i="14" s="1"/>
  <c r="H25" i="5"/>
  <c r="P25" i="5"/>
  <c r="AD25" i="5" s="1"/>
  <c r="N25" i="14" s="1"/>
  <c r="AT10" i="5"/>
  <c r="AS10" i="5"/>
  <c r="L10" i="5"/>
  <c r="AB10" i="5" s="1"/>
  <c r="J10" i="14" s="1"/>
  <c r="R18" i="2"/>
  <c r="X18" i="2" s="1"/>
  <c r="P4" i="5"/>
  <c r="AR4" i="5"/>
  <c r="B4" i="14"/>
  <c r="AD4" i="5"/>
  <c r="N4" i="14" s="1"/>
  <c r="H4" i="5"/>
  <c r="X4" i="5" s="1"/>
  <c r="H4" i="14" s="1"/>
  <c r="B25" i="14"/>
  <c r="D6" i="14"/>
  <c r="AS6" i="5"/>
  <c r="L6" i="5"/>
  <c r="T6" i="5"/>
  <c r="AH6" i="5" s="1"/>
  <c r="P6" i="14" s="1"/>
  <c r="AT6" i="5"/>
  <c r="AN15" i="5"/>
  <c r="AM15" i="5"/>
  <c r="H6" i="5"/>
  <c r="AR6" i="5"/>
  <c r="X6" i="5"/>
  <c r="H6" i="14" s="1"/>
  <c r="P6" i="5"/>
  <c r="AD6" i="5" s="1"/>
  <c r="N6" i="14" s="1"/>
  <c r="B6" i="14"/>
  <c r="E6" i="14"/>
  <c r="I6" i="5"/>
  <c r="Y6" i="5" s="1"/>
  <c r="K6" i="14" s="1"/>
  <c r="Q6" i="5"/>
  <c r="AE6" i="5" s="1"/>
  <c r="Q6" i="14" s="1"/>
  <c r="AW6" i="5"/>
  <c r="AR25" i="5"/>
  <c r="AT4" i="5"/>
  <c r="S6" i="5"/>
  <c r="AG6" i="5"/>
  <c r="R6" i="14" s="1"/>
  <c r="K6" i="5"/>
  <c r="F6" i="14"/>
  <c r="AV6" i="5"/>
  <c r="AU6" i="5"/>
  <c r="AD27" i="5"/>
  <c r="N27" i="14" s="1"/>
  <c r="P27" i="5"/>
  <c r="AR27" i="5"/>
  <c r="AU7" i="5"/>
  <c r="K7" i="5"/>
  <c r="AA7" i="5" s="1"/>
  <c r="L7" i="14" s="1"/>
  <c r="AG7" i="5"/>
  <c r="R7" i="14" s="1"/>
  <c r="S7" i="5"/>
  <c r="H10" i="5"/>
  <c r="X10" i="5" s="1"/>
  <c r="H10" i="14" s="1"/>
  <c r="AR10" i="5"/>
  <c r="P10" i="5"/>
  <c r="AD10" i="5" s="1"/>
  <c r="N10" i="14" s="1"/>
  <c r="AT7" i="5"/>
  <c r="AB7" i="5"/>
  <c r="J7" i="14" s="1"/>
  <c r="L7" i="5"/>
  <c r="AS7" i="5"/>
  <c r="T7" i="5"/>
  <c r="AH7" i="5" s="1"/>
  <c r="P7" i="14" s="1"/>
  <c r="Q27" i="5"/>
  <c r="AE27" i="5" s="1"/>
  <c r="Q27" i="14" s="1"/>
  <c r="E27" i="14"/>
  <c r="AH16" i="5"/>
  <c r="P16" i="14" s="1"/>
  <c r="T16" i="5"/>
  <c r="L16" i="5"/>
  <c r="AB16" i="5" s="1"/>
  <c r="J16" i="14" s="1"/>
  <c r="AT16" i="5"/>
  <c r="AS16" i="5"/>
  <c r="AQ18" i="5"/>
  <c r="AP18" i="5"/>
  <c r="D27" i="14"/>
  <c r="L27" i="5"/>
  <c r="AB27" i="5" s="1"/>
  <c r="J27" i="14" s="1"/>
  <c r="AS27" i="5"/>
  <c r="T27" i="5"/>
  <c r="AH27" i="5" s="1"/>
  <c r="P27" i="14" s="1"/>
  <c r="AT27" i="5"/>
  <c r="AB30" i="5"/>
  <c r="J30" i="14" s="1"/>
  <c r="D16" i="14"/>
  <c r="AN6" i="5"/>
  <c r="AM6" i="5"/>
  <c r="R6" i="5"/>
  <c r="AF6" i="5" s="1"/>
  <c r="O6" i="14" s="1"/>
  <c r="S11" i="5"/>
  <c r="AG11" i="5"/>
  <c r="R11" i="14" s="1"/>
  <c r="F11" i="14"/>
  <c r="AU11" i="5"/>
  <c r="K11" i="5"/>
  <c r="AA11" i="5" s="1"/>
  <c r="L11" i="14" s="1"/>
  <c r="G20" i="14"/>
  <c r="AV20" i="5"/>
  <c r="U20" i="5"/>
  <c r="AI20" i="5" s="1"/>
  <c r="S20" i="14" s="1"/>
  <c r="AW20" i="5"/>
  <c r="AE23" i="5"/>
  <c r="Q23" i="14" s="1"/>
  <c r="E23" i="14"/>
  <c r="I23" i="5"/>
  <c r="Y23" i="5" s="1"/>
  <c r="K23" i="14" s="1"/>
  <c r="Q23" i="5"/>
  <c r="AW23" i="5"/>
  <c r="AU23" i="5"/>
  <c r="U6" i="2"/>
  <c r="AA6" i="2" s="1"/>
  <c r="R6" i="2"/>
  <c r="X6" i="2" s="1"/>
  <c r="AA30" i="5"/>
  <c r="L30" i="14" s="1"/>
  <c r="AW27" i="5"/>
  <c r="AV27" i="5"/>
  <c r="AC27" i="5"/>
  <c r="M27" i="14" s="1"/>
  <c r="M27" i="5"/>
  <c r="AI27" i="5"/>
  <c r="S27" i="14" s="1"/>
  <c r="G27" i="14"/>
  <c r="U27" i="5"/>
  <c r="S20" i="5"/>
  <c r="AG20" i="5"/>
  <c r="R20" i="14" s="1"/>
  <c r="F20" i="14"/>
  <c r="AU20" i="5"/>
  <c r="E11" i="14"/>
  <c r="Q11" i="5"/>
  <c r="AE11" i="5" s="1"/>
  <c r="Q11" i="14" s="1"/>
  <c r="AP24" i="5"/>
  <c r="AQ24" i="5"/>
  <c r="I27" i="5"/>
  <c r="Y27" i="5" s="1"/>
  <c r="K27" i="14" s="1"/>
  <c r="AR17" i="5"/>
  <c r="H17" i="5"/>
  <c r="X17" i="5" s="1"/>
  <c r="H17" i="14" s="1"/>
  <c r="B17" i="14"/>
  <c r="P17" i="5"/>
  <c r="AD17" i="5" s="1"/>
  <c r="N17" i="14" s="1"/>
  <c r="P15" i="5"/>
  <c r="AD15" i="5" s="1"/>
  <c r="N15" i="14" s="1"/>
  <c r="S23" i="5"/>
  <c r="AG23" i="5" s="1"/>
  <c r="R23" i="14" s="1"/>
  <c r="F23" i="14"/>
  <c r="K23" i="5"/>
  <c r="AA23" i="5"/>
  <c r="L23" i="14" s="1"/>
  <c r="R28" i="2"/>
  <c r="X28" i="2" s="1"/>
  <c r="U28" i="2"/>
  <c r="AA28" i="2" s="1"/>
  <c r="B10" i="14"/>
  <c r="AA6" i="5"/>
  <c r="L6" i="14" s="1"/>
  <c r="AH23" i="5"/>
  <c r="P23" i="14" s="1"/>
  <c r="T23" i="5"/>
  <c r="L23" i="5"/>
  <c r="AB23" i="5" s="1"/>
  <c r="J23" i="14" s="1"/>
  <c r="D23" i="14"/>
  <c r="U23" i="2"/>
  <c r="AA23" i="2" s="1"/>
  <c r="B27" i="14"/>
  <c r="B8" i="5"/>
  <c r="D8" i="15"/>
  <c r="B16" i="5"/>
  <c r="D16" i="15"/>
  <c r="D24" i="15"/>
  <c r="B24" i="5"/>
  <c r="B32" i="5"/>
  <c r="D32" i="15"/>
  <c r="W34" i="5"/>
  <c r="AQ4" i="5"/>
  <c r="AP4" i="5"/>
  <c r="AB6" i="5"/>
  <c r="J6" i="14" s="1"/>
  <c r="I11" i="5"/>
  <c r="Y11" i="5" s="1"/>
  <c r="K11" i="14" s="1"/>
  <c r="R15" i="5"/>
  <c r="AF15" i="5" s="1"/>
  <c r="O15" i="14" s="1"/>
  <c r="AH17" i="5"/>
  <c r="P17" i="14" s="1"/>
  <c r="D17" i="14"/>
  <c r="L17" i="5"/>
  <c r="AB17" i="5" s="1"/>
  <c r="J17" i="14" s="1"/>
  <c r="T17" i="5"/>
  <c r="D10" i="14"/>
  <c r="F8" i="15"/>
  <c r="F8" i="5"/>
  <c r="F24" i="5"/>
  <c r="F24" i="15"/>
  <c r="F32" i="15"/>
  <c r="F32" i="5"/>
  <c r="AA12" i="5"/>
  <c r="L12" i="14" s="1"/>
  <c r="K12" i="5"/>
  <c r="F12" i="14"/>
  <c r="S12" i="5"/>
  <c r="AG12" i="5" s="1"/>
  <c r="R12" i="14" s="1"/>
  <c r="AU12" i="5"/>
  <c r="M17" i="5"/>
  <c r="AC17" i="5" s="1"/>
  <c r="M17" i="14" s="1"/>
  <c r="U17" i="5"/>
  <c r="AI17" i="5" s="1"/>
  <c r="S17" i="14" s="1"/>
  <c r="AW17" i="5"/>
  <c r="G17" i="14"/>
  <c r="AV17" i="5"/>
  <c r="M20" i="5"/>
  <c r="AC20" i="5" s="1"/>
  <c r="M20" i="14" s="1"/>
  <c r="AP26" i="5"/>
  <c r="AQ26" i="5"/>
  <c r="T29" i="5"/>
  <c r="L29" i="5"/>
  <c r="AB29" i="5" s="1"/>
  <c r="J29" i="14" s="1"/>
  <c r="AT29" i="5"/>
  <c r="D29" i="14"/>
  <c r="AS29" i="5"/>
  <c r="AH29" i="5"/>
  <c r="P29" i="14" s="1"/>
  <c r="R29" i="2"/>
  <c r="X29" i="2" s="1"/>
  <c r="D7" i="14"/>
  <c r="D9" i="15"/>
  <c r="B9" i="5"/>
  <c r="D33" i="15"/>
  <c r="B33" i="5"/>
  <c r="AV16" i="5"/>
  <c r="S16" i="5"/>
  <c r="AU16" i="5"/>
  <c r="AG16" i="5"/>
  <c r="R16" i="14" s="1"/>
  <c r="K16" i="5"/>
  <c r="AA16" i="5" s="1"/>
  <c r="L16" i="14" s="1"/>
  <c r="AM18" i="5"/>
  <c r="AN18" i="5"/>
  <c r="AG27" i="5"/>
  <c r="R27" i="14" s="1"/>
  <c r="K27" i="5"/>
  <c r="AA27" i="5" s="1"/>
  <c r="L27" i="14" s="1"/>
  <c r="F27" i="14"/>
  <c r="AU27" i="5"/>
  <c r="S27" i="5"/>
  <c r="H27" i="5"/>
  <c r="X27" i="5" s="1"/>
  <c r="H27" i="14" s="1"/>
  <c r="AB20" i="5"/>
  <c r="J20" i="14" s="1"/>
  <c r="AS20" i="5"/>
  <c r="T20" i="5"/>
  <c r="D20" i="14"/>
  <c r="AT20" i="5"/>
  <c r="AH20" i="5"/>
  <c r="P20" i="14" s="1"/>
  <c r="I15" i="5"/>
  <c r="Y15" i="5" s="1"/>
  <c r="K15" i="14" s="1"/>
  <c r="AO15" i="5"/>
  <c r="M15" i="5"/>
  <c r="AQ6" i="5"/>
  <c r="U6" i="5"/>
  <c r="AI6" i="5" s="1"/>
  <c r="S6" i="14" s="1"/>
  <c r="AP6" i="5"/>
  <c r="R9" i="5"/>
  <c r="AF9" i="5" s="1"/>
  <c r="O9" i="14" s="1"/>
  <c r="AN9" i="5"/>
  <c r="AM9" i="5"/>
  <c r="T11" i="5"/>
  <c r="AH11" i="5" s="1"/>
  <c r="P11" i="14" s="1"/>
  <c r="D11" i="14"/>
  <c r="AT11" i="5"/>
  <c r="AS11" i="5"/>
  <c r="L11" i="5"/>
  <c r="AB11" i="5" s="1"/>
  <c r="J11" i="14" s="1"/>
  <c r="E17" i="14"/>
  <c r="I17" i="5"/>
  <c r="AE17" i="5"/>
  <c r="Q17" i="14" s="1"/>
  <c r="Y17" i="5"/>
  <c r="K17" i="14" s="1"/>
  <c r="Q17" i="5"/>
  <c r="AV23" i="5"/>
  <c r="V34" i="5"/>
  <c r="AN4" i="5"/>
  <c r="AM4" i="5"/>
  <c r="R4" i="5"/>
  <c r="AF4" i="5" s="1"/>
  <c r="O4" i="14" s="1"/>
  <c r="G11" i="14"/>
  <c r="AI11" i="5"/>
  <c r="S11" i="14" s="1"/>
  <c r="U11" i="5"/>
  <c r="M11" i="5"/>
  <c r="AC11" i="5" s="1"/>
  <c r="M11" i="14" s="1"/>
  <c r="AW11" i="5"/>
  <c r="AV11" i="5"/>
  <c r="X12" i="5"/>
  <c r="H12" i="14" s="1"/>
  <c r="S17" i="5"/>
  <c r="AG17" i="5"/>
  <c r="R17" i="14" s="1"/>
  <c r="K17" i="5"/>
  <c r="AA17" i="5"/>
  <c r="L17" i="14" s="1"/>
  <c r="K20" i="5"/>
  <c r="AA20" i="5" s="1"/>
  <c r="L20" i="14" s="1"/>
  <c r="AM25" i="5"/>
  <c r="R25" i="5"/>
  <c r="AF25" i="5" s="1"/>
  <c r="O25" i="14" s="1"/>
  <c r="AQ9" i="5"/>
  <c r="T10" i="5"/>
  <c r="AH10" i="5" s="1"/>
  <c r="P10" i="14" s="1"/>
  <c r="AS12" i="5"/>
  <c r="AT12" i="5"/>
  <c r="L12" i="5"/>
  <c r="T12" i="5"/>
  <c r="AH12" i="5" s="1"/>
  <c r="P12" i="14" s="1"/>
  <c r="AB12" i="5"/>
  <c r="J12" i="14" s="1"/>
  <c r="M22" i="5"/>
  <c r="AC22" i="5" s="1"/>
  <c r="M22" i="14" s="1"/>
  <c r="I28" i="5"/>
  <c r="Y28" i="5" s="1"/>
  <c r="K28" i="14" s="1"/>
  <c r="M28" i="5"/>
  <c r="AC28" i="5" s="1"/>
  <c r="M28" i="14" s="1"/>
  <c r="AO28" i="5"/>
  <c r="G29" i="14"/>
  <c r="U29" i="5"/>
  <c r="M29" i="5"/>
  <c r="AC29" i="5" s="1"/>
  <c r="M29" i="14" s="1"/>
  <c r="AW29" i="5"/>
  <c r="AV29" i="5"/>
  <c r="AI29" i="5"/>
  <c r="S29" i="14" s="1"/>
  <c r="AW33" i="5"/>
  <c r="AV33" i="5"/>
  <c r="G33" i="14"/>
  <c r="M33" i="5"/>
  <c r="AC33" i="5" s="1"/>
  <c r="M33" i="14" s="1"/>
  <c r="U33" i="5"/>
  <c r="AI33" i="5" s="1"/>
  <c r="S33" i="14" s="1"/>
  <c r="F9" i="15"/>
  <c r="F9" i="5"/>
  <c r="AH25" i="5"/>
  <c r="P25" i="14" s="1"/>
  <c r="L25" i="5"/>
  <c r="AB25" i="5" s="1"/>
  <c r="J25" i="14" s="1"/>
  <c r="AT25" i="5"/>
  <c r="T25" i="5"/>
  <c r="AS25" i="5"/>
  <c r="F33" i="15"/>
  <c r="F33" i="5"/>
  <c r="E4" i="14"/>
  <c r="Q4" i="5"/>
  <c r="AE4" i="5"/>
  <c r="Q4" i="14" s="1"/>
  <c r="F4" i="14"/>
  <c r="B9" i="13" s="1"/>
  <c r="D14" i="21" s="1"/>
  <c r="AG4" i="5"/>
  <c r="R4" i="14" s="1"/>
  <c r="S4" i="5"/>
  <c r="AO20" i="5"/>
  <c r="AP20" i="5"/>
  <c r="AN30" i="5"/>
  <c r="AM30" i="5"/>
  <c r="R30" i="5"/>
  <c r="AF30" i="5" s="1"/>
  <c r="O30" i="14" s="1"/>
  <c r="P30" i="5"/>
  <c r="AD30" i="5" s="1"/>
  <c r="N30" i="14" s="1"/>
  <c r="R9" i="2"/>
  <c r="X9" i="2" s="1"/>
  <c r="U13" i="2"/>
  <c r="AA13" i="2" s="1"/>
  <c r="R23" i="5"/>
  <c r="AF23" i="5" s="1"/>
  <c r="O23" i="14" s="1"/>
  <c r="AM23" i="5"/>
  <c r="AA31" i="5"/>
  <c r="L31" i="14" s="1"/>
  <c r="K31" i="5"/>
  <c r="S31" i="5"/>
  <c r="AG31" i="5" s="1"/>
  <c r="R31" i="14" s="1"/>
  <c r="AU31" i="5"/>
  <c r="K9" i="5"/>
  <c r="AA9" i="5" s="1"/>
  <c r="L9" i="14" s="1"/>
  <c r="AG9" i="5"/>
  <c r="R9" i="14" s="1"/>
  <c r="AM17" i="5"/>
  <c r="R17" i="5"/>
  <c r="AF17" i="5" s="1"/>
  <c r="O17" i="14" s="1"/>
  <c r="P21" i="5"/>
  <c r="AD21" i="5"/>
  <c r="N21" i="14" s="1"/>
  <c r="P22" i="5"/>
  <c r="AD22" i="5" s="1"/>
  <c r="N22" i="14" s="1"/>
  <c r="AR22" i="5"/>
  <c r="H22" i="5"/>
  <c r="X22" i="5" s="1"/>
  <c r="H22" i="14" s="1"/>
  <c r="AM22" i="5"/>
  <c r="AQ23" i="5"/>
  <c r="AP23" i="5"/>
  <c r="AA26" i="5"/>
  <c r="L26" i="14" s="1"/>
  <c r="K26" i="5"/>
  <c r="S26" i="5"/>
  <c r="AG26" i="5"/>
  <c r="R26" i="14" s="1"/>
  <c r="AS31" i="5"/>
  <c r="L31" i="5"/>
  <c r="AB31" i="5" s="1"/>
  <c r="J31" i="14" s="1"/>
  <c r="AT31" i="5"/>
  <c r="T31" i="5"/>
  <c r="AH31" i="5" s="1"/>
  <c r="P31" i="14" s="1"/>
  <c r="B22" i="14"/>
  <c r="I4" i="5"/>
  <c r="Y4" i="5" s="1"/>
  <c r="K4" i="14" s="1"/>
  <c r="AL5" i="5"/>
  <c r="J5" i="5"/>
  <c r="Z5" i="5" s="1"/>
  <c r="I5" i="14" s="1"/>
  <c r="AM5" i="5"/>
  <c r="AW8" i="5"/>
  <c r="G8" i="14"/>
  <c r="U8" i="5"/>
  <c r="AI8" i="5" s="1"/>
  <c r="S8" i="14" s="1"/>
  <c r="AT13" i="5"/>
  <c r="AO16" i="5"/>
  <c r="M16" i="5"/>
  <c r="AC16" i="5" s="1"/>
  <c r="M16" i="14" s="1"/>
  <c r="AP16" i="5"/>
  <c r="AP17" i="5"/>
  <c r="X21" i="5"/>
  <c r="H21" i="14" s="1"/>
  <c r="E22" i="14"/>
  <c r="I22" i="5"/>
  <c r="Y22" i="5" s="1"/>
  <c r="K22" i="14" s="1"/>
  <c r="AE22" i="5"/>
  <c r="Q22" i="14" s="1"/>
  <c r="U26" i="5"/>
  <c r="AI26" i="5" s="1"/>
  <c r="S26" i="14" s="1"/>
  <c r="M26" i="5"/>
  <c r="AC26" i="5" s="1"/>
  <c r="M26" i="14" s="1"/>
  <c r="AR28" i="5"/>
  <c r="H28" i="5"/>
  <c r="X28" i="5" s="1"/>
  <c r="H28" i="14" s="1"/>
  <c r="AD28" i="5"/>
  <c r="N28" i="14" s="1"/>
  <c r="M31" i="5"/>
  <c r="AC31" i="5" s="1"/>
  <c r="M31" i="14" s="1"/>
  <c r="AW31" i="5"/>
  <c r="U31" i="5"/>
  <c r="AI31" i="5" s="1"/>
  <c r="S31" i="14" s="1"/>
  <c r="AV31" i="5"/>
  <c r="AO5" i="5"/>
  <c r="G9" i="14"/>
  <c r="AI9" i="5"/>
  <c r="S9" i="14" s="1"/>
  <c r="M9" i="5"/>
  <c r="AC9" i="5" s="1"/>
  <c r="M9" i="14" s="1"/>
  <c r="AG14" i="5"/>
  <c r="R14" i="14" s="1"/>
  <c r="F14" i="14"/>
  <c r="K14" i="5"/>
  <c r="AA14" i="5" s="1"/>
  <c r="L14" i="14" s="1"/>
  <c r="AU21" i="5"/>
  <c r="F21" i="14"/>
  <c r="AG21" i="5"/>
  <c r="R21" i="14" s="1"/>
  <c r="K21" i="5"/>
  <c r="AA21" i="5" s="1"/>
  <c r="L21" i="14" s="1"/>
  <c r="K22" i="5"/>
  <c r="AA22" i="5" s="1"/>
  <c r="L22" i="14" s="1"/>
  <c r="AU26" i="5"/>
  <c r="AV32" i="5"/>
  <c r="AC32" i="5"/>
  <c r="M32" i="14" s="1"/>
  <c r="M32" i="5"/>
  <c r="U32" i="5"/>
  <c r="AI32" i="5"/>
  <c r="S32" i="14" s="1"/>
  <c r="AW32" i="5"/>
  <c r="D4" i="14"/>
  <c r="T4" i="5"/>
  <c r="AH4" i="5"/>
  <c r="P4" i="14" s="1"/>
  <c r="AB4" i="5"/>
  <c r="J4" i="14" s="1"/>
  <c r="AD13" i="5"/>
  <c r="N13" i="14" s="1"/>
  <c r="H13" i="5"/>
  <c r="X13" i="5" s="1"/>
  <c r="H13" i="14" s="1"/>
  <c r="AR13" i="5"/>
  <c r="B15" i="14"/>
  <c r="AR15" i="5"/>
  <c r="H15" i="5"/>
  <c r="X15" i="5"/>
  <c r="H15" i="14" s="1"/>
  <c r="AR26" i="5"/>
  <c r="X26" i="5"/>
  <c r="H26" i="14" s="1"/>
  <c r="P26" i="5"/>
  <c r="B26" i="14"/>
  <c r="G4" i="14"/>
  <c r="M4" i="5"/>
  <c r="AC4" i="5" s="1"/>
  <c r="M4" i="14" s="1"/>
  <c r="AI4" i="5"/>
  <c r="S4" i="14" s="1"/>
  <c r="E9" i="14"/>
  <c r="I9" i="5"/>
  <c r="Y9" i="5"/>
  <c r="K9" i="14" s="1"/>
  <c r="AE9" i="5"/>
  <c r="Q9" i="14" s="1"/>
  <c r="K4" i="5"/>
  <c r="AA4" i="5" s="1"/>
  <c r="L4" i="14" s="1"/>
  <c r="B7" i="14"/>
  <c r="AD7" i="5"/>
  <c r="N7" i="14" s="1"/>
  <c r="H7" i="5"/>
  <c r="X7" i="5" s="1"/>
  <c r="H7" i="14" s="1"/>
  <c r="AP11" i="5"/>
  <c r="AQ11" i="5"/>
  <c r="AR12" i="5"/>
  <c r="H12" i="5"/>
  <c r="P12" i="5"/>
  <c r="AD12" i="5"/>
  <c r="N12" i="14" s="1"/>
  <c r="D14" i="14"/>
  <c r="T14" i="5"/>
  <c r="L14" i="5"/>
  <c r="AB14" i="5" s="1"/>
  <c r="J14" i="14" s="1"/>
  <c r="AH14" i="5"/>
  <c r="P14" i="14" s="1"/>
  <c r="AP22" i="5"/>
  <c r="AV26" i="5"/>
  <c r="AN27" i="5"/>
  <c r="AM27" i="5"/>
  <c r="AG28" i="5"/>
  <c r="R28" i="14" s="1"/>
  <c r="K28" i="5"/>
  <c r="AA28" i="5" s="1"/>
  <c r="L28" i="14" s="1"/>
  <c r="S30" i="5"/>
  <c r="AG30" i="5" s="1"/>
  <c r="R30" i="14" s="1"/>
  <c r="F30" i="14"/>
  <c r="K30" i="5"/>
  <c r="B23" i="5"/>
  <c r="D23" i="15"/>
  <c r="AN14" i="5"/>
  <c r="AM14" i="5"/>
  <c r="P14" i="5"/>
  <c r="AD14" i="5" s="1"/>
  <c r="N14" i="14" s="1"/>
  <c r="B31" i="14"/>
  <c r="AR31" i="5"/>
  <c r="P31" i="5"/>
  <c r="AD31" i="5" s="1"/>
  <c r="N31" i="14" s="1"/>
  <c r="H31" i="5"/>
  <c r="X31" i="5" s="1"/>
  <c r="H31" i="14" s="1"/>
  <c r="AD18" i="5"/>
  <c r="N18" i="14" s="1"/>
  <c r="H18" i="5"/>
  <c r="X18" i="5"/>
  <c r="H18" i="14" s="1"/>
  <c r="AD26" i="5"/>
  <c r="N26" i="14" s="1"/>
  <c r="I31" i="5"/>
  <c r="Y31" i="5" s="1"/>
  <c r="K31" i="14" s="1"/>
  <c r="Q31" i="5"/>
  <c r="AE31" i="5" s="1"/>
  <c r="Q31" i="14" s="1"/>
  <c r="AE18" i="5"/>
  <c r="Q18" i="14" s="1"/>
  <c r="L4" i="5"/>
  <c r="AE7" i="5"/>
  <c r="Q7" i="14" s="1"/>
  <c r="I7" i="5"/>
  <c r="Y7" i="5" s="1"/>
  <c r="K7" i="14" s="1"/>
  <c r="I12" i="5"/>
  <c r="Y12" i="5" s="1"/>
  <c r="K12" i="14" s="1"/>
  <c r="AE12" i="5"/>
  <c r="Q12" i="14" s="1"/>
  <c r="E12" i="14"/>
  <c r="U14" i="5"/>
  <c r="G14" i="14"/>
  <c r="AI14" i="5"/>
  <c r="S14" i="14" s="1"/>
  <c r="M14" i="5"/>
  <c r="AC14" i="5" s="1"/>
  <c r="M14" i="14" s="1"/>
  <c r="AL15" i="5"/>
  <c r="J15" i="5"/>
  <c r="Z15" i="5" s="1"/>
  <c r="I15" i="14" s="1"/>
  <c r="AN16" i="5"/>
  <c r="AM16" i="5"/>
  <c r="R16" i="5"/>
  <c r="AF16" i="5" s="1"/>
  <c r="O16" i="14" s="1"/>
  <c r="P18" i="5"/>
  <c r="AR18" i="5"/>
  <c r="Q20" i="5"/>
  <c r="AE20" i="5" s="1"/>
  <c r="Q20" i="14" s="1"/>
  <c r="I20" i="5"/>
  <c r="Y20" i="5" s="1"/>
  <c r="K20" i="14" s="1"/>
  <c r="E20" i="14"/>
  <c r="G21" i="14"/>
  <c r="AI21" i="5"/>
  <c r="S21" i="14" s="1"/>
  <c r="M21" i="5"/>
  <c r="AC21" i="5" s="1"/>
  <c r="M21" i="14" s="1"/>
  <c r="AM29" i="5"/>
  <c r="AN29" i="5"/>
  <c r="D30" i="14"/>
  <c r="T30" i="5"/>
  <c r="AS30" i="5"/>
  <c r="AH30" i="5"/>
  <c r="P30" i="14" s="1"/>
  <c r="L30" i="5"/>
  <c r="D31" i="14"/>
  <c r="F15" i="15"/>
  <c r="F15" i="5"/>
  <c r="M25" i="5"/>
  <c r="AC25" i="5" s="1"/>
  <c r="M25" i="14" s="1"/>
  <c r="G25" i="14"/>
  <c r="AW25" i="5"/>
  <c r="AV25" i="5"/>
  <c r="N34" i="5"/>
  <c r="R2" i="2"/>
  <c r="X2" i="2" s="1"/>
  <c r="G5" i="14"/>
  <c r="AI5" i="5"/>
  <c r="S5" i="14" s="1"/>
  <c r="F18" i="5"/>
  <c r="X19" i="5"/>
  <c r="H19" i="14" s="1"/>
  <c r="AW22" i="5"/>
  <c r="AL4" i="5"/>
  <c r="H5" i="5"/>
  <c r="X5" i="5" s="1"/>
  <c r="H5" i="14" s="1"/>
  <c r="AW7" i="5"/>
  <c r="AP8" i="5"/>
  <c r="U10" i="5"/>
  <c r="AI10" i="5" s="1"/>
  <c r="S10" i="14" s="1"/>
  <c r="G10" i="14"/>
  <c r="AW10" i="5"/>
  <c r="M10" i="5"/>
  <c r="AC10" i="5" s="1"/>
  <c r="M10" i="14" s="1"/>
  <c r="G13" i="14"/>
  <c r="AV13" i="5"/>
  <c r="AW15" i="5"/>
  <c r="AC18" i="5"/>
  <c r="M18" i="14" s="1"/>
  <c r="M18" i="5"/>
  <c r="AW18" i="5"/>
  <c r="D19" i="14"/>
  <c r="T19" i="5"/>
  <c r="AH19" i="5" s="1"/>
  <c r="P19" i="14" s="1"/>
  <c r="AG22" i="5"/>
  <c r="R22" i="14" s="1"/>
  <c r="AI25" i="5"/>
  <c r="S25" i="14" s="1"/>
  <c r="AL26" i="5"/>
  <c r="L28" i="5"/>
  <c r="AB28" i="5" s="1"/>
  <c r="J28" i="14" s="1"/>
  <c r="AL28" i="5"/>
  <c r="AP29" i="5"/>
  <c r="Q33" i="5"/>
  <c r="AE33" i="5" s="1"/>
  <c r="Q33" i="14" s="1"/>
  <c r="R7" i="2"/>
  <c r="X7" i="2" s="1"/>
  <c r="U7" i="2"/>
  <c r="AA7" i="2" s="1"/>
  <c r="R31" i="2"/>
  <c r="X31" i="2" s="1"/>
  <c r="F8" i="14"/>
  <c r="U15" i="2"/>
  <c r="AA15" i="2" s="1"/>
  <c r="R15" i="2"/>
  <c r="X15" i="2" s="1"/>
  <c r="U23" i="5"/>
  <c r="AI23" i="5" s="1"/>
  <c r="S23" i="14" s="1"/>
  <c r="AU18" i="5"/>
  <c r="K18" i="5"/>
  <c r="AA18" i="5" s="1"/>
  <c r="L18" i="14" s="1"/>
  <c r="H11" i="5"/>
  <c r="X11" i="5" s="1"/>
  <c r="H11" i="14" s="1"/>
  <c r="AV7" i="5"/>
  <c r="AV15" i="5"/>
  <c r="S19" i="5"/>
  <c r="AG19" i="5" s="1"/>
  <c r="R19" i="14" s="1"/>
  <c r="U21" i="2"/>
  <c r="AA21" i="2" s="1"/>
  <c r="B11" i="14"/>
  <c r="AC7" i="5"/>
  <c r="M7" i="14" s="1"/>
  <c r="AM8" i="5"/>
  <c r="AS13" i="5"/>
  <c r="AC15" i="5"/>
  <c r="M15" i="14" s="1"/>
  <c r="AV19" i="5"/>
  <c r="AW19" i="5"/>
  <c r="AG33" i="5"/>
  <c r="R33" i="14" s="1"/>
  <c r="K33" i="5"/>
  <c r="AA33" i="5"/>
  <c r="L33" i="14" s="1"/>
  <c r="U17" i="2"/>
  <c r="AA17" i="2" s="1"/>
  <c r="R17" i="2"/>
  <c r="X17" i="2" s="1"/>
  <c r="R33" i="5"/>
  <c r="AF33" i="5" s="1"/>
  <c r="O33" i="14" s="1"/>
  <c r="AM33" i="5"/>
  <c r="AN33" i="5"/>
  <c r="F5" i="14"/>
  <c r="S5" i="5"/>
  <c r="AG5" i="5" s="1"/>
  <c r="R5" i="14" s="1"/>
  <c r="AE10" i="5"/>
  <c r="Q10" i="14" s="1"/>
  <c r="AE13" i="5"/>
  <c r="Q13" i="14" s="1"/>
  <c r="I18" i="5"/>
  <c r="AN19" i="5"/>
  <c r="AM19" i="5"/>
  <c r="AU22" i="5"/>
  <c r="AV22" i="5"/>
  <c r="AT26" i="5"/>
  <c r="L26" i="5"/>
  <c r="AB26" i="5" s="1"/>
  <c r="J26" i="14" s="1"/>
  <c r="AS26" i="5"/>
  <c r="T26" i="5"/>
  <c r="AH26" i="5" s="1"/>
  <c r="P26" i="14" s="1"/>
  <c r="AU15" i="5"/>
  <c r="Y18" i="5"/>
  <c r="K18" i="14" s="1"/>
  <c r="AC23" i="5"/>
  <c r="M23" i="14" s="1"/>
  <c r="AN32" i="5"/>
  <c r="AM32" i="5"/>
  <c r="P19" i="5"/>
  <c r="AD19" i="5"/>
  <c r="N19" i="14" s="1"/>
  <c r="B19" i="14"/>
  <c r="O34" i="5"/>
  <c r="AA5" i="5"/>
  <c r="L5" i="14" s="1"/>
  <c r="AV5" i="5"/>
  <c r="M7" i="5"/>
  <c r="I10" i="5"/>
  <c r="Y10" i="5" s="1"/>
  <c r="K10" i="14" s="1"/>
  <c r="AM11" i="5"/>
  <c r="AR11" i="5"/>
  <c r="I13" i="5"/>
  <c r="Y13" i="5" s="1"/>
  <c r="K13" i="14" s="1"/>
  <c r="K15" i="5"/>
  <c r="AA15" i="5" s="1"/>
  <c r="L15" i="14" s="1"/>
  <c r="J17" i="5"/>
  <c r="Z17" i="5" s="1"/>
  <c r="I17" i="14" s="1"/>
  <c r="AL17" i="5"/>
  <c r="AG18" i="5"/>
  <c r="R18" i="14" s="1"/>
  <c r="H19" i="5"/>
  <c r="AA19" i="5"/>
  <c r="L19" i="14" s="1"/>
  <c r="M24" i="5"/>
  <c r="AC24" i="5" s="1"/>
  <c r="M24" i="14" s="1"/>
  <c r="K24" i="5"/>
  <c r="AA24" i="5" s="1"/>
  <c r="L24" i="14" s="1"/>
  <c r="AN31" i="5"/>
  <c r="R31" i="5"/>
  <c r="AF31" i="5" s="1"/>
  <c r="O31" i="14" s="1"/>
  <c r="AU32" i="5"/>
  <c r="S32" i="5"/>
  <c r="AG32" i="5" s="1"/>
  <c r="R32" i="14" s="1"/>
  <c r="D26" i="14"/>
  <c r="AD29" i="5"/>
  <c r="N29" i="14" s="1"/>
  <c r="B29" i="14"/>
  <c r="X29" i="5"/>
  <c r="H29" i="14" s="1"/>
  <c r="D22" i="14"/>
  <c r="AT22" i="5"/>
  <c r="AG25" i="5"/>
  <c r="R25" i="14" s="1"/>
  <c r="R16" i="2"/>
  <c r="X16" i="2" s="1"/>
  <c r="R20" i="2"/>
  <c r="X20" i="2" s="1"/>
  <c r="F25" i="14"/>
  <c r="I25" i="5"/>
  <c r="Y25" i="5" s="1"/>
  <c r="K25" i="14" s="1"/>
  <c r="AE25" i="5"/>
  <c r="Q25" i="14" s="1"/>
  <c r="AQ25" i="5"/>
  <c r="AP25" i="5"/>
  <c r="AU25" i="5"/>
  <c r="E25" i="14"/>
  <c r="AE8" i="5"/>
  <c r="Q8" i="14" s="1"/>
  <c r="E14" i="14"/>
  <c r="Q14" i="5"/>
  <c r="AE14" i="5" s="1"/>
  <c r="Q14" i="14" s="1"/>
  <c r="AB22" i="5"/>
  <c r="J22" i="14" s="1"/>
  <c r="AA25" i="5"/>
  <c r="L25" i="14" s="1"/>
  <c r="Q28" i="5"/>
  <c r="AE28" i="5" s="1"/>
  <c r="Q28" i="14" s="1"/>
  <c r="AP28" i="5"/>
  <c r="H30" i="5"/>
  <c r="X30" i="5" s="1"/>
  <c r="H30" i="14" s="1"/>
  <c r="U24" i="5"/>
  <c r="AI24" i="5" s="1"/>
  <c r="S24" i="14" s="1"/>
  <c r="AH28" i="5"/>
  <c r="P28" i="14" s="1"/>
  <c r="D15" i="21"/>
  <c r="D6" i="21"/>
  <c r="C7" i="21"/>
  <c r="C6" i="21"/>
  <c r="I10" i="18"/>
  <c r="C16" i="21"/>
  <c r="C12" i="21"/>
  <c r="D16" i="21"/>
  <c r="D12" i="21"/>
  <c r="C14" i="21"/>
  <c r="C13" i="21"/>
  <c r="C8" i="21"/>
  <c r="C9" i="21"/>
  <c r="F5" i="18"/>
  <c r="F10" i="18" s="1"/>
  <c r="D8" i="21"/>
  <c r="D17" i="21"/>
  <c r="D9" i="21"/>
  <c r="D10" i="21"/>
  <c r="C17" i="21"/>
  <c r="C10" i="21"/>
  <c r="AH9" i="5" l="1"/>
  <c r="P9" i="14" s="1"/>
  <c r="AS9" i="5"/>
  <c r="D9" i="14"/>
  <c r="L9" i="5"/>
  <c r="AB9" i="5" s="1"/>
  <c r="J9" i="14" s="1"/>
  <c r="T9" i="5"/>
  <c r="AT9" i="5"/>
  <c r="T32" i="5"/>
  <c r="D32" i="14"/>
  <c r="AT32" i="5"/>
  <c r="AS32" i="5"/>
  <c r="AH32" i="5"/>
  <c r="P32" i="14" s="1"/>
  <c r="L32" i="5"/>
  <c r="AB32" i="5" s="1"/>
  <c r="J32" i="14" s="1"/>
  <c r="D24" i="14"/>
  <c r="L24" i="5"/>
  <c r="AB24" i="5"/>
  <c r="J24" i="14" s="1"/>
  <c r="AH24" i="5"/>
  <c r="P24" i="14" s="1"/>
  <c r="AT24" i="5"/>
  <c r="AS24" i="5"/>
  <c r="T24" i="5"/>
  <c r="P32" i="5"/>
  <c r="AD32" i="5" s="1"/>
  <c r="N32" i="14" s="1"/>
  <c r="B32" i="14"/>
  <c r="H32" i="5"/>
  <c r="X32" i="5" s="1"/>
  <c r="H32" i="14" s="1"/>
  <c r="AR32" i="5"/>
  <c r="D7" i="21"/>
  <c r="P33" i="5"/>
  <c r="AD33" i="5"/>
  <c r="N33" i="14" s="1"/>
  <c r="B33" i="14"/>
  <c r="AR33" i="5"/>
  <c r="H33" i="5"/>
  <c r="X33" i="5" s="1"/>
  <c r="H33" i="14" s="1"/>
  <c r="T8" i="5"/>
  <c r="D8" i="14"/>
  <c r="AB8" i="5"/>
  <c r="J8" i="14" s="1"/>
  <c r="L8" i="5"/>
  <c r="AH8" i="5"/>
  <c r="P8" i="14" s="1"/>
  <c r="AT8" i="5"/>
  <c r="AS8" i="5"/>
  <c r="AR24" i="5"/>
  <c r="B24" i="14"/>
  <c r="H24" i="5"/>
  <c r="X24" i="5" s="1"/>
  <c r="H24" i="14" s="1"/>
  <c r="P24" i="5"/>
  <c r="AD24" i="5" s="1"/>
  <c r="N24" i="14" s="1"/>
  <c r="L33" i="5"/>
  <c r="AB33" i="5"/>
  <c r="J33" i="14" s="1"/>
  <c r="D33" i="14"/>
  <c r="T33" i="5"/>
  <c r="AT33" i="5"/>
  <c r="AH33" i="5"/>
  <c r="P33" i="14" s="1"/>
  <c r="AS33" i="5"/>
  <c r="AS18" i="5"/>
  <c r="L18" i="5"/>
  <c r="AB18" i="5" s="1"/>
  <c r="J18" i="14" s="1"/>
  <c r="D18" i="14"/>
  <c r="AT18" i="5"/>
  <c r="T18" i="5"/>
  <c r="AH18" i="5" s="1"/>
  <c r="P18" i="14" s="1"/>
  <c r="P16" i="5"/>
  <c r="AD16" i="5" s="1"/>
  <c r="N16" i="14" s="1"/>
  <c r="B16" i="14"/>
  <c r="AR16" i="5"/>
  <c r="H16" i="5"/>
  <c r="X16" i="5" s="1"/>
  <c r="H16" i="14" s="1"/>
  <c r="AR9" i="5"/>
  <c r="H9" i="5"/>
  <c r="P9" i="5"/>
  <c r="AD9" i="5"/>
  <c r="N9" i="14" s="1"/>
  <c r="X9" i="5"/>
  <c r="H9" i="14" s="1"/>
  <c r="B9" i="14"/>
  <c r="D13" i="21"/>
  <c r="T15" i="5"/>
  <c r="AS15" i="5"/>
  <c r="D15" i="14"/>
  <c r="AT15" i="5"/>
  <c r="L15" i="5"/>
  <c r="AB15" i="5" s="1"/>
  <c r="J15" i="14" s="1"/>
  <c r="AH15" i="5"/>
  <c r="P15" i="14" s="1"/>
  <c r="B23" i="14"/>
  <c r="P23" i="5"/>
  <c r="H23" i="5"/>
  <c r="X23" i="5" s="1"/>
  <c r="H23" i="14" s="1"/>
  <c r="AD23" i="5"/>
  <c r="N23" i="14" s="1"/>
  <c r="AT23" i="5"/>
  <c r="AR23" i="5"/>
  <c r="B8" i="14"/>
  <c r="AR8" i="5"/>
  <c r="P8" i="5"/>
  <c r="AD8" i="5"/>
  <c r="N8" i="14" s="1"/>
  <c r="H8" i="5"/>
  <c r="X8" i="5" s="1"/>
  <c r="H8" i="14" s="1"/>
  <c r="F15" i="18"/>
  <c r="F13" i="18"/>
  <c r="F12" i="18"/>
  <c r="I15" i="18"/>
  <c r="D11" i="21" s="1"/>
  <c r="I13" i="18"/>
  <c r="I12" i="18"/>
  <c r="D19" i="21" l="1"/>
  <c r="B16" i="13"/>
  <c r="C18" i="21" s="1"/>
  <c r="B17" i="13"/>
  <c r="C11" i="21"/>
  <c r="D20" i="21" l="1"/>
  <c r="I27" i="18"/>
  <c r="I30" i="18" s="1"/>
  <c r="I31" i="18" s="1"/>
  <c r="I38" i="18"/>
  <c r="I39" i="18" s="1"/>
  <c r="I40" i="18" s="1"/>
  <c r="C19" i="21"/>
  <c r="C20" i="21" s="1"/>
  <c r="D18" i="21"/>
  <c r="I35" i="18"/>
  <c r="I36" i="18" s="1"/>
  <c r="K201" i="3"/>
  <c r="K239" i="3"/>
  <c r="K53" i="3"/>
  <c r="K40" i="3"/>
  <c r="K6" i="3"/>
  <c r="K430" i="3"/>
  <c r="K41" i="3"/>
  <c r="K387" i="3"/>
  <c r="K215" i="3"/>
  <c r="K269" i="3"/>
  <c r="K123" i="3"/>
  <c r="K367" i="3"/>
  <c r="K522" i="3"/>
  <c r="K105" i="3"/>
  <c r="K359" i="3"/>
  <c r="K218" i="3"/>
  <c r="K226" i="3"/>
  <c r="K267" i="3"/>
  <c r="K107" i="3"/>
  <c r="K530" i="3"/>
  <c r="K345" i="3"/>
  <c r="K495" i="3"/>
  <c r="K3" i="3"/>
  <c r="K99" i="3"/>
  <c r="K311" i="3"/>
  <c r="K228" i="3"/>
  <c r="K233" i="3"/>
  <c r="K33" i="3"/>
  <c r="K456" i="3"/>
  <c r="K64" i="3"/>
  <c r="K8" i="3"/>
  <c r="K54" i="3"/>
  <c r="K525" i="3"/>
  <c r="K84" i="3"/>
  <c r="K15" i="3"/>
  <c r="K515" i="3"/>
  <c r="K277" i="3"/>
  <c r="K118" i="3"/>
  <c r="K114" i="3"/>
  <c r="K151" i="3"/>
  <c r="K501" i="3"/>
  <c r="K31" i="3"/>
  <c r="K176" i="3"/>
  <c r="K157" i="3"/>
  <c r="K177" i="3"/>
  <c r="K254" i="3"/>
  <c r="K502" i="3"/>
  <c r="K488" i="3"/>
  <c r="K82" i="3"/>
  <c r="K500" i="3"/>
  <c r="K278" i="3"/>
  <c r="K106" i="3"/>
  <c r="K380" i="3"/>
  <c r="K389" i="3"/>
  <c r="K214" i="3"/>
  <c r="K4" i="3"/>
  <c r="K472" i="3"/>
  <c r="K34" i="3"/>
  <c r="K219" i="3"/>
  <c r="K432" i="3"/>
  <c r="K348" i="3"/>
  <c r="K270" i="3"/>
  <c r="K393" i="3"/>
  <c r="K326" i="3"/>
  <c r="K420" i="3"/>
  <c r="K435" i="3"/>
  <c r="K499" i="3"/>
  <c r="K308" i="3"/>
  <c r="K98" i="3"/>
  <c r="K463" i="3"/>
  <c r="K20" i="3"/>
  <c r="K482" i="3"/>
  <c r="K220" i="3"/>
  <c r="K511" i="3"/>
  <c r="K340" i="3"/>
  <c r="K360" i="3"/>
  <c r="K436" i="3"/>
  <c r="K409" i="3"/>
  <c r="K128" i="3"/>
  <c r="K97" i="3"/>
  <c r="K148" i="3"/>
  <c r="K300" i="3"/>
  <c r="K321" i="3"/>
  <c r="K478" i="3"/>
  <c r="K103" i="3"/>
  <c r="K202" i="3"/>
  <c r="K7" i="3"/>
  <c r="K490" i="3"/>
  <c r="K258" i="3"/>
  <c r="K229" i="3"/>
  <c r="K527" i="3"/>
  <c r="K126" i="3"/>
  <c r="K60" i="3"/>
  <c r="K135" i="3"/>
  <c r="K72" i="3"/>
  <c r="K62" i="3"/>
  <c r="K407" i="3"/>
  <c r="K112" i="3"/>
  <c r="K339" i="3"/>
  <c r="K200" i="3"/>
  <c r="K354" i="3"/>
  <c r="K161" i="3"/>
  <c r="K441" i="3"/>
  <c r="K336" i="3"/>
  <c r="K66" i="3"/>
  <c r="K512" i="3"/>
  <c r="K334" i="3"/>
  <c r="K471" i="3"/>
  <c r="K284" i="3"/>
  <c r="K328" i="3"/>
  <c r="K310" i="3"/>
  <c r="K464" i="3"/>
  <c r="K11" i="3"/>
  <c r="K57" i="3"/>
  <c r="K539" i="3"/>
  <c r="K183" i="3"/>
  <c r="K44" i="3"/>
  <c r="K167" i="3"/>
  <c r="K476" i="3"/>
  <c r="K184" i="3"/>
  <c r="K276" i="3"/>
  <c r="K460" i="3"/>
  <c r="K206" i="3"/>
  <c r="K346" i="3"/>
  <c r="K449" i="3"/>
  <c r="K363" i="3"/>
  <c r="K275" i="3"/>
  <c r="K498" i="3"/>
  <c r="K510" i="3"/>
  <c r="K465" i="3"/>
  <c r="K382" i="3"/>
  <c r="K36" i="3"/>
  <c r="K280" i="3"/>
  <c r="K187" i="3"/>
  <c r="K457" i="3"/>
  <c r="K179" i="3"/>
  <c r="K299" i="3"/>
  <c r="K440" i="3"/>
  <c r="K540" i="3"/>
  <c r="K108" i="3"/>
  <c r="K373" i="3"/>
  <c r="K224" i="3"/>
  <c r="K337" i="3"/>
  <c r="K77" i="3"/>
  <c r="K370" i="3"/>
  <c r="K203" i="3"/>
  <c r="K85" i="3"/>
  <c r="K168" i="3"/>
  <c r="K281" i="3"/>
  <c r="K319" i="3"/>
  <c r="K388" i="3"/>
  <c r="K111" i="3"/>
  <c r="K70" i="3"/>
  <c r="K475" i="3"/>
  <c r="K486" i="3"/>
  <c r="K292" i="3"/>
  <c r="K25" i="3"/>
  <c r="K410" i="3"/>
  <c r="K94" i="3"/>
  <c r="K445" i="3"/>
  <c r="K146" i="3"/>
  <c r="K366" i="3"/>
  <c r="K378" i="3"/>
  <c r="K324" i="3"/>
  <c r="K392" i="3"/>
  <c r="K23" i="3"/>
  <c r="K92" i="3"/>
  <c r="K18" i="3"/>
  <c r="K332" i="3"/>
  <c r="K110" i="3"/>
  <c r="K462" i="3"/>
  <c r="K132" i="3"/>
  <c r="K139" i="3"/>
  <c r="K212" i="3"/>
  <c r="K210" i="3"/>
  <c r="K63" i="3"/>
  <c r="K444" i="3"/>
  <c r="K150" i="3"/>
  <c r="K296" i="3"/>
  <c r="K35" i="3"/>
  <c r="K320" i="3"/>
  <c r="K342" i="3"/>
  <c r="K172" i="3"/>
  <c r="K256" i="3"/>
  <c r="K442" i="3"/>
  <c r="K122" i="3"/>
  <c r="K13" i="3"/>
  <c r="K384" i="3"/>
  <c r="K403" i="3"/>
  <c r="K213" i="3"/>
  <c r="K521" i="3"/>
  <c r="K162" i="3"/>
  <c r="K368" i="3"/>
  <c r="K295" i="3"/>
  <c r="K231" i="3"/>
  <c r="K341" i="3"/>
  <c r="K504" i="3"/>
  <c r="K116" i="3"/>
  <c r="K5" i="3"/>
  <c r="K400" i="3"/>
  <c r="K282" i="3"/>
  <c r="K100" i="3"/>
  <c r="K497" i="3"/>
  <c r="K291" i="3"/>
  <c r="K323" i="3"/>
  <c r="K196" i="3"/>
  <c r="K315" i="3"/>
  <c r="K192" i="3"/>
  <c r="K330" i="3"/>
  <c r="K170" i="3"/>
  <c r="K69" i="3"/>
  <c r="K422" i="3"/>
  <c r="K29" i="3"/>
  <c r="K260" i="3"/>
  <c r="K216" i="3"/>
  <c r="K386" i="3"/>
  <c r="K165" i="3"/>
  <c r="K143" i="3"/>
  <c r="K50" i="3"/>
  <c r="K186" i="3"/>
  <c r="K71" i="3"/>
  <c r="K402" i="3"/>
  <c r="K466" i="3"/>
  <c r="K517" i="3"/>
  <c r="K222" i="3"/>
  <c r="K531" i="3"/>
  <c r="K169" i="3"/>
  <c r="K42" i="3"/>
  <c r="K198" i="3"/>
  <c r="K381" i="3"/>
  <c r="K90" i="3"/>
  <c r="K421" i="3"/>
  <c r="K83" i="3"/>
  <c r="K303" i="3"/>
  <c r="K412" i="3"/>
  <c r="K10" i="3"/>
  <c r="K496" i="3"/>
  <c r="K305" i="3"/>
  <c r="K375" i="3"/>
  <c r="K273" i="3"/>
  <c r="K43" i="3"/>
  <c r="K251" i="3"/>
  <c r="K417" i="3"/>
  <c r="K290" i="3"/>
  <c r="K131" i="3"/>
  <c r="K79" i="3"/>
  <c r="K48" i="3"/>
  <c r="K461" i="3"/>
  <c r="K257" i="3"/>
  <c r="K416" i="3"/>
  <c r="K156" i="3"/>
  <c r="K480" i="3"/>
  <c r="K474" i="3"/>
  <c r="K327" i="3"/>
  <c r="K443" i="3"/>
  <c r="K372" i="3"/>
  <c r="K49" i="3"/>
  <c r="K398" i="3"/>
  <c r="K458" i="3"/>
  <c r="K195" i="3"/>
  <c r="K408" i="3"/>
  <c r="K264" i="3"/>
  <c r="K526" i="3"/>
  <c r="K188" i="3"/>
  <c r="K369" i="3"/>
  <c r="K484" i="3"/>
  <c r="K39" i="3"/>
  <c r="K51" i="3"/>
  <c r="K520" i="3"/>
  <c r="K344" i="3"/>
  <c r="K74" i="3"/>
  <c r="K518" i="3"/>
  <c r="K426" i="3"/>
  <c r="K437" i="3"/>
  <c r="K538" i="3"/>
  <c r="K285" i="3"/>
  <c r="K414" i="3"/>
  <c r="K528" i="3"/>
  <c r="K425" i="3"/>
  <c r="K317" i="3"/>
  <c r="K121" i="3"/>
  <c r="K447" i="3"/>
  <c r="K377" i="3"/>
  <c r="K261" i="3"/>
  <c r="K153" i="3"/>
  <c r="K404" i="3"/>
  <c r="K244" i="3"/>
  <c r="K283" i="3"/>
  <c r="K247" i="3"/>
  <c r="K406" i="3"/>
  <c r="K489" i="3"/>
  <c r="K529" i="3"/>
  <c r="K356" i="3"/>
  <c r="K485" i="3"/>
  <c r="K265" i="3"/>
  <c r="K438" i="3"/>
  <c r="K24" i="3"/>
  <c r="K246" i="3"/>
  <c r="K418" i="3"/>
  <c r="K506" i="3"/>
  <c r="K141" i="3"/>
  <c r="K255" i="3"/>
  <c r="K439" i="3"/>
  <c r="K193" i="3"/>
  <c r="K318" i="3"/>
  <c r="K446" i="3"/>
  <c r="K56" i="3"/>
  <c r="K115" i="3"/>
  <c r="K204" i="3"/>
  <c r="K47" i="3"/>
  <c r="K507" i="3"/>
  <c r="K185" i="3"/>
  <c r="K102" i="3"/>
  <c r="K125" i="3"/>
  <c r="K394" i="3"/>
  <c r="K26" i="3"/>
  <c r="K238" i="3"/>
  <c r="K175" i="3"/>
  <c r="K2" i="3"/>
  <c r="K536" i="3"/>
  <c r="K455" i="3"/>
  <c r="K396" i="3"/>
  <c r="K252" i="3"/>
  <c r="K262" i="3"/>
  <c r="K351" i="3"/>
  <c r="K298" i="3"/>
  <c r="K124" i="3"/>
  <c r="K297" i="3"/>
  <c r="K173" i="3"/>
  <c r="K364" i="3"/>
  <c r="K362" i="3"/>
  <c r="K197" i="3"/>
  <c r="K313" i="3"/>
  <c r="K237" i="3"/>
  <c r="K78" i="3"/>
  <c r="K52" i="3"/>
  <c r="K477" i="3"/>
  <c r="K9" i="3"/>
  <c r="K479" i="3"/>
  <c r="K45" i="3"/>
  <c r="K21" i="3"/>
  <c r="K301" i="3"/>
  <c r="K450" i="3"/>
  <c r="K241" i="3"/>
  <c r="K428" i="3"/>
  <c r="K259" i="3"/>
  <c r="K17" i="3"/>
  <c r="K227" i="3"/>
  <c r="K189" i="3"/>
  <c r="K376" i="3"/>
  <c r="K452" i="3"/>
  <c r="K133" i="3"/>
  <c r="K535" i="3"/>
  <c r="K371" i="3"/>
  <c r="K129" i="3"/>
  <c r="K96" i="3"/>
  <c r="K190" i="3"/>
  <c r="K67" i="3"/>
  <c r="K140" i="3"/>
  <c r="K211" i="3"/>
  <c r="K142" i="3"/>
  <c r="K159" i="3"/>
  <c r="K180" i="3"/>
  <c r="K419" i="3"/>
  <c r="K248" i="3"/>
  <c r="K46" i="3"/>
  <c r="K274" i="3"/>
  <c r="K383" i="3"/>
  <c r="K266" i="3"/>
  <c r="K333" i="3"/>
  <c r="K293" i="3"/>
  <c r="K155" i="3"/>
  <c r="K154" i="3"/>
  <c r="K467" i="3"/>
  <c r="K191" i="3"/>
  <c r="K80" i="3"/>
  <c r="K230" i="3"/>
  <c r="K288" i="3"/>
  <c r="K88" i="3"/>
  <c r="K30" i="3"/>
  <c r="K424" i="3"/>
  <c r="K365" i="3"/>
  <c r="K516" i="3"/>
  <c r="K65" i="3"/>
  <c r="K134" i="3"/>
  <c r="K532" i="3"/>
  <c r="K61" i="3"/>
  <c r="K338" i="3"/>
  <c r="K413" i="3"/>
  <c r="K533" i="3"/>
  <c r="K268" i="3"/>
  <c r="K120" i="3"/>
  <c r="K89" i="3"/>
  <c r="K240" i="3"/>
  <c r="K149" i="3"/>
  <c r="K209" i="3"/>
  <c r="K81" i="3"/>
  <c r="K144" i="3"/>
  <c r="K316" i="3"/>
  <c r="K93" i="3"/>
  <c r="K27" i="3"/>
  <c r="K171" i="3"/>
  <c r="K481" i="3"/>
  <c r="K357" i="3"/>
  <c r="K87" i="3"/>
  <c r="K534" i="3"/>
  <c r="K399" i="3"/>
  <c r="K178" i="3"/>
  <c r="K250" i="3"/>
  <c r="K279" i="3"/>
  <c r="K306" i="3"/>
  <c r="K304" i="3"/>
  <c r="K152" i="3"/>
  <c r="K136" i="3"/>
  <c r="K347" i="3"/>
  <c r="K160" i="3"/>
  <c r="K390" i="3"/>
  <c r="K453" i="3"/>
  <c r="K174" i="3"/>
  <c r="K355" i="3"/>
  <c r="K352" i="3"/>
  <c r="K431" i="3"/>
  <c r="K537" i="3"/>
  <c r="K22" i="3"/>
  <c r="K329" i="3"/>
  <c r="K130" i="3"/>
  <c r="K137" i="3"/>
  <c r="K243" i="3"/>
  <c r="K207" i="3"/>
  <c r="K249" i="3"/>
  <c r="K75" i="3"/>
  <c r="K182" i="3"/>
  <c r="K468" i="3"/>
  <c r="K95" i="3"/>
  <c r="K331" i="3"/>
  <c r="K38" i="3"/>
  <c r="K524" i="3"/>
  <c r="K234" i="3"/>
  <c r="K508" i="3"/>
  <c r="K58" i="3"/>
  <c r="K242" i="3"/>
  <c r="K491" i="3"/>
  <c r="K429" i="3"/>
  <c r="K14" i="3"/>
  <c r="K294" i="3"/>
  <c r="K223" i="3"/>
  <c r="K28" i="3"/>
  <c r="K405" i="3"/>
  <c r="K113" i="3"/>
  <c r="K101" i="3"/>
  <c r="K395" i="3"/>
  <c r="K358" i="3"/>
  <c r="K119" i="3"/>
  <c r="K492" i="3"/>
  <c r="K138" i="3"/>
  <c r="K59" i="3"/>
  <c r="K314" i="3"/>
  <c r="K454" i="3"/>
  <c r="K208" i="3"/>
  <c r="K503" i="3"/>
  <c r="K117" i="3"/>
  <c r="K483" i="3"/>
  <c r="K391" i="3"/>
  <c r="K232" i="3"/>
  <c r="K164" i="3"/>
  <c r="K473" i="3"/>
  <c r="K86" i="3"/>
  <c r="K509" i="3"/>
  <c r="K272" i="3"/>
  <c r="K322" i="3"/>
  <c r="K350" i="3"/>
  <c r="K68" i="3"/>
  <c r="K385" i="3"/>
  <c r="K158" i="3"/>
  <c r="K401" i="3"/>
  <c r="K411" i="3"/>
  <c r="K287" i="3"/>
  <c r="K16" i="3"/>
  <c r="K147" i="3"/>
  <c r="K104" i="3"/>
  <c r="K76" i="3"/>
  <c r="K374" i="3"/>
  <c r="K470" i="3"/>
  <c r="K286" i="3"/>
  <c r="K459" i="3"/>
  <c r="K312" i="3"/>
  <c r="K423" i="3"/>
  <c r="K353" i="3"/>
  <c r="K12" i="3"/>
  <c r="K245" i="3"/>
  <c r="K309" i="3"/>
  <c r="K434" i="3"/>
  <c r="K514" i="3"/>
  <c r="K349" i="3"/>
  <c r="K519" i="3"/>
  <c r="K225" i="3"/>
  <c r="K194" i="3"/>
  <c r="K236" i="3"/>
  <c r="K166" i="3"/>
  <c r="K335" i="3"/>
  <c r="K205" i="3"/>
  <c r="K494" i="3"/>
  <c r="K427" i="3"/>
  <c r="K493" i="3"/>
  <c r="K263" i="3"/>
  <c r="K302" i="3"/>
  <c r="K221" i="3"/>
  <c r="K448" i="3"/>
  <c r="K513" i="3"/>
  <c r="K32" i="3"/>
  <c r="E44" i="3" l="1"/>
  <c r="E482" i="3"/>
  <c r="E12" i="3"/>
  <c r="E308" i="3"/>
  <c r="E396" i="3"/>
  <c r="E10" i="3"/>
  <c r="E312" i="3"/>
  <c r="E402" i="3"/>
  <c r="E196" i="3"/>
  <c r="E244" i="3"/>
  <c r="E108" i="3"/>
  <c r="E376" i="3"/>
  <c r="E370" i="3"/>
  <c r="E452" i="3"/>
  <c r="E158" i="3"/>
  <c r="E310" i="3"/>
  <c r="E232" i="3"/>
  <c r="E522" i="3"/>
  <c r="E70" i="3"/>
  <c r="E162" i="3"/>
  <c r="E304" i="3"/>
  <c r="E146" i="3"/>
  <c r="E180" i="3"/>
  <c r="E450" i="3"/>
  <c r="E94" i="3"/>
  <c r="E406" i="3"/>
  <c r="E332" i="3"/>
  <c r="E322" i="3"/>
  <c r="E464" i="3"/>
  <c r="E106" i="3"/>
  <c r="E14" i="3"/>
  <c r="E152" i="3"/>
  <c r="E490" i="3"/>
  <c r="E284" i="3"/>
  <c r="E296" i="3"/>
  <c r="E174" i="3"/>
  <c r="E184" i="3"/>
  <c r="E386" i="3"/>
  <c r="E64" i="3"/>
  <c r="E538" i="3"/>
  <c r="E400" i="3"/>
  <c r="E524" i="3"/>
  <c r="E52" i="3"/>
  <c r="E234" i="3"/>
  <c r="E86" i="3"/>
  <c r="E484" i="3"/>
  <c r="E168" i="3"/>
  <c r="E120" i="3"/>
  <c r="E56" i="3"/>
  <c r="E416" i="3"/>
  <c r="E286" i="3"/>
  <c r="E320" i="3"/>
  <c r="E532" i="3"/>
  <c r="E494" i="3"/>
  <c r="E142" i="3"/>
  <c r="E504" i="3"/>
  <c r="E374" i="3"/>
  <c r="E434" i="3"/>
  <c r="E342" i="3"/>
  <c r="E328" i="3"/>
  <c r="E32" i="3"/>
  <c r="E264" i="3"/>
  <c r="E478" i="3"/>
  <c r="E198" i="3"/>
  <c r="E488" i="3"/>
  <c r="E224" i="3"/>
  <c r="E460" i="3"/>
  <c r="E498" i="3"/>
  <c r="E204" i="3"/>
  <c r="E122" i="3"/>
  <c r="E278" i="3"/>
  <c r="E214" i="3"/>
  <c r="E418" i="3"/>
  <c r="E294" i="3"/>
  <c r="E206" i="3"/>
  <c r="E354" i="3"/>
  <c r="E248" i="3"/>
  <c r="E226" i="3"/>
  <c r="E306" i="3"/>
  <c r="E398" i="3"/>
  <c r="E238" i="3"/>
  <c r="E18" i="3"/>
  <c r="E388" i="3"/>
  <c r="E150" i="3"/>
  <c r="E84" i="3"/>
  <c r="E282" i="3"/>
  <c r="E246" i="3"/>
  <c r="E480" i="3"/>
  <c r="E298" i="3"/>
  <c r="E260" i="3"/>
  <c r="E384" i="3"/>
  <c r="E266" i="3"/>
  <c r="E486" i="3"/>
  <c r="E534" i="3"/>
  <c r="E346" i="3"/>
  <c r="E212" i="3"/>
  <c r="E512" i="3"/>
  <c r="E316" i="3"/>
  <c r="E470" i="3"/>
  <c r="E220" i="3"/>
  <c r="E22" i="3"/>
  <c r="E410" i="3"/>
  <c r="E188" i="3"/>
  <c r="E90" i="3"/>
  <c r="E362" i="3"/>
  <c r="E210" i="3"/>
  <c r="E348" i="3"/>
  <c r="E124" i="3"/>
  <c r="E358" i="3"/>
  <c r="E476" i="3"/>
  <c r="E140" i="3"/>
  <c r="E380" i="3"/>
  <c r="E496" i="3"/>
  <c r="E378" i="3"/>
  <c r="E80" i="3"/>
  <c r="E118" i="3"/>
  <c r="E276" i="3"/>
  <c r="E218" i="3"/>
  <c r="E202" i="3"/>
  <c r="E110" i="3"/>
  <c r="E36" i="3"/>
  <c r="E334" i="3"/>
  <c r="E62" i="3"/>
  <c r="E528" i="3"/>
  <c r="E186" i="3"/>
  <c r="E506" i="3"/>
  <c r="E372" i="3"/>
  <c r="E516" i="3"/>
  <c r="E6" i="3"/>
  <c r="E144" i="3"/>
  <c r="E430" i="3"/>
  <c r="E366" i="3"/>
  <c r="E268" i="3"/>
  <c r="E92" i="3"/>
  <c r="E82" i="3"/>
  <c r="E228" i="3"/>
  <c r="E16" i="3"/>
  <c r="E178" i="3"/>
  <c r="E134" i="3"/>
  <c r="E164" i="3"/>
  <c r="E444" i="3"/>
  <c r="E242" i="3"/>
  <c r="E270" i="3"/>
  <c r="E280" i="3"/>
  <c r="E240" i="3"/>
  <c r="E394" i="3"/>
  <c r="E96" i="3"/>
  <c r="E222" i="3"/>
  <c r="E4" i="3"/>
  <c r="E172" i="3"/>
  <c r="E468" i="3"/>
  <c r="E390" i="3"/>
  <c r="E54" i="3"/>
  <c r="E314" i="3"/>
  <c r="E510" i="3"/>
  <c r="E292" i="3"/>
  <c r="E442" i="3"/>
  <c r="E132" i="3"/>
  <c r="E344" i="3"/>
  <c r="E194" i="3"/>
  <c r="E30" i="3"/>
  <c r="E254" i="3"/>
  <c r="E230" i="3"/>
  <c r="E26" i="3"/>
  <c r="E404" i="3"/>
  <c r="E458" i="3"/>
  <c r="E58" i="3"/>
  <c r="E50" i="3"/>
  <c r="E38" i="3"/>
  <c r="E326" i="3"/>
  <c r="E392" i="3"/>
  <c r="E72" i="3"/>
  <c r="E432" i="3"/>
  <c r="E258" i="3"/>
  <c r="E236" i="3"/>
  <c r="E74" i="3"/>
  <c r="E466" i="3"/>
  <c r="E492" i="3"/>
  <c r="E156" i="3"/>
  <c r="E412" i="3"/>
  <c r="E2" i="3"/>
  <c r="E200" i="3"/>
  <c r="E262" i="3"/>
  <c r="E324" i="3"/>
  <c r="E102" i="3"/>
  <c r="E502" i="3"/>
  <c r="E42" i="3"/>
  <c r="E100" i="3"/>
  <c r="E34" i="3"/>
  <c r="E116" i="3"/>
  <c r="E182" i="3"/>
  <c r="E160" i="3"/>
  <c r="E48" i="3"/>
  <c r="E520" i="3"/>
  <c r="E104" i="3"/>
  <c r="E190" i="3"/>
  <c r="E126" i="3"/>
  <c r="E24" i="3"/>
  <c r="E252" i="3"/>
  <c r="E274" i="3"/>
  <c r="E272" i="3"/>
  <c r="E336" i="3"/>
  <c r="E508" i="3"/>
  <c r="E500" i="3"/>
  <c r="E474" i="3"/>
  <c r="E424" i="3"/>
  <c r="E368" i="3"/>
  <c r="E408" i="3"/>
  <c r="E414" i="3"/>
  <c r="E446" i="3"/>
  <c r="E128" i="3"/>
  <c r="E352" i="3"/>
  <c r="E518" i="3"/>
  <c r="E422" i="3"/>
  <c r="E420" i="3"/>
  <c r="E170" i="3"/>
  <c r="E454" i="3"/>
  <c r="E216" i="3"/>
  <c r="E166" i="3"/>
  <c r="E536" i="3"/>
  <c r="E136" i="3"/>
  <c r="E540" i="3"/>
  <c r="E290" i="3"/>
  <c r="E60" i="3"/>
  <c r="E300" i="3"/>
  <c r="E112" i="3"/>
  <c r="E192" i="3"/>
  <c r="E448" i="3"/>
  <c r="E302" i="3"/>
  <c r="E76" i="3"/>
  <c r="E530" i="3"/>
  <c r="E138" i="3"/>
  <c r="E436" i="3"/>
  <c r="E318" i="3"/>
  <c r="E148" i="3"/>
  <c r="E428" i="3"/>
  <c r="E154" i="3"/>
  <c r="E514" i="3"/>
  <c r="E8" i="3"/>
  <c r="E176" i="3"/>
  <c r="E78" i="3"/>
  <c r="E338" i="3"/>
  <c r="E130" i="3"/>
  <c r="E462" i="3"/>
  <c r="E364" i="3"/>
  <c r="E66" i="3"/>
  <c r="E20" i="3"/>
  <c r="E426" i="3"/>
  <c r="E356" i="3"/>
  <c r="E68" i="3"/>
  <c r="E46" i="3"/>
  <c r="E288" i="3"/>
  <c r="E330" i="3"/>
  <c r="E472" i="3"/>
  <c r="E114" i="3"/>
  <c r="E28" i="3"/>
  <c r="E382" i="3"/>
  <c r="E456" i="3"/>
  <c r="E340" i="3"/>
  <c r="E208" i="3"/>
  <c r="E526" i="3"/>
  <c r="E98" i="3"/>
  <c r="E256" i="3"/>
  <c r="E438" i="3"/>
  <c r="E40" i="3"/>
  <c r="E360" i="3"/>
  <c r="E250" i="3"/>
  <c r="E350" i="3"/>
  <c r="E88" i="3"/>
  <c r="E4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Jacob C Galzki</author>
  </authors>
  <commentList>
    <comment ref="E11" authorId="0" shapeId="0" xr:uid="{00000000-0006-0000-0200-000001000000}">
      <text>
        <r>
          <rPr>
            <b/>
            <sz val="9"/>
            <color indexed="81"/>
            <rFont val="Tahoma"/>
            <family val="2"/>
          </rPr>
          <t>Jacob C Galzki:</t>
        </r>
        <r>
          <rPr>
            <sz val="9"/>
            <color indexed="81"/>
            <rFont val="Tahoma"/>
            <family val="2"/>
          </rPr>
          <t xml:space="preserve">
Choose a reduced buffer width, this option cannot be left blank.</t>
        </r>
      </text>
    </comment>
    <comment ref="E12" authorId="0" shapeId="0" xr:uid="{00000000-0006-0000-0200-000002000000}">
      <text>
        <r>
          <rPr>
            <b/>
            <sz val="9"/>
            <color indexed="81"/>
            <rFont val="Tahoma"/>
            <family val="2"/>
          </rPr>
          <t>Jacob C Galzki:</t>
        </r>
        <r>
          <rPr>
            <sz val="9"/>
            <color indexed="81"/>
            <rFont val="Tahoma"/>
            <family val="2"/>
          </rPr>
          <t xml:space="preserve">
Enter a value between 1 and 100</t>
        </r>
      </text>
    </comment>
    <comment ref="E13" authorId="0" shapeId="0" xr:uid="{00000000-0006-0000-0200-000003000000}">
      <text>
        <r>
          <rPr>
            <b/>
            <sz val="9"/>
            <color indexed="81"/>
            <rFont val="Tahoma"/>
            <family val="2"/>
          </rPr>
          <t>Jacob C Galzki:</t>
        </r>
        <r>
          <rPr>
            <sz val="9"/>
            <color indexed="81"/>
            <rFont val="Tahoma"/>
            <family val="2"/>
          </rPr>
          <t xml:space="preserve">
Enter a value between 1 and 100</t>
        </r>
      </text>
    </comment>
    <comment ref="E14" authorId="0" shapeId="0" xr:uid="{00000000-0006-0000-0200-000004000000}">
      <text>
        <r>
          <rPr>
            <b/>
            <sz val="9"/>
            <color indexed="81"/>
            <rFont val="Tahoma"/>
            <family val="2"/>
          </rPr>
          <t>Jacob C Galzki:</t>
        </r>
        <r>
          <rPr>
            <sz val="9"/>
            <color indexed="81"/>
            <rFont val="Tahoma"/>
            <family val="2"/>
          </rPr>
          <t xml:space="preserve">
Enter a value between 1 and 100</t>
        </r>
      </text>
    </comment>
    <comment ref="E15" authorId="0" shapeId="0" xr:uid="{00000000-0006-0000-0200-000005000000}">
      <text>
        <r>
          <rPr>
            <b/>
            <sz val="9"/>
            <color indexed="81"/>
            <rFont val="Tahoma"/>
            <family val="2"/>
          </rPr>
          <t>Jacob C Galzki:</t>
        </r>
        <r>
          <rPr>
            <sz val="9"/>
            <color indexed="81"/>
            <rFont val="Tahoma"/>
            <family val="2"/>
          </rPr>
          <t xml:space="preserve">
Enter a value between 1 and 100</t>
        </r>
      </text>
    </comment>
    <comment ref="E16" authorId="0" shapeId="0" xr:uid="{00000000-0006-0000-0200-000006000000}">
      <text>
        <r>
          <rPr>
            <b/>
            <sz val="9"/>
            <color indexed="81"/>
            <rFont val="Tahoma"/>
            <family val="2"/>
          </rPr>
          <t>Jacob C Galzki:</t>
        </r>
        <r>
          <rPr>
            <sz val="9"/>
            <color indexed="81"/>
            <rFont val="Tahoma"/>
            <family val="2"/>
          </rPr>
          <t xml:space="preserve">
Enter a value between 1 and 100</t>
        </r>
      </text>
    </comment>
    <comment ref="E17" authorId="0" shapeId="0" xr:uid="{00000000-0006-0000-0200-000007000000}">
      <text>
        <r>
          <rPr>
            <b/>
            <sz val="9"/>
            <color indexed="81"/>
            <rFont val="Tahoma"/>
            <family val="2"/>
          </rPr>
          <t>Jacob C Galzki:</t>
        </r>
        <r>
          <rPr>
            <sz val="9"/>
            <color indexed="81"/>
            <rFont val="Tahoma"/>
            <family val="2"/>
          </rPr>
          <t xml:space="preserve">
Enter a value between 1 and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Jacob C Galzki</author>
  </authors>
  <commentList>
    <comment ref="R1" authorId="0" shapeId="0" xr:uid="{00000000-0006-0000-0500-000001000000}">
      <text>
        <r>
          <rPr>
            <b/>
            <sz val="9"/>
            <color indexed="81"/>
            <rFont val="Tahoma"/>
            <family val="2"/>
          </rPr>
          <t>Jacob C Galzki:</t>
        </r>
        <r>
          <rPr>
            <sz val="9"/>
            <color indexed="81"/>
            <rFont val="Tahoma"/>
            <family val="2"/>
          </rPr>
          <t xml:space="preserve">
removed from analysis</t>
        </r>
      </text>
    </comment>
    <comment ref="T1" authorId="0" shapeId="0" xr:uid="{00000000-0006-0000-0500-000002000000}">
      <text>
        <r>
          <rPr>
            <b/>
            <sz val="9"/>
            <color indexed="81"/>
            <rFont val="Tahoma"/>
            <family val="2"/>
          </rPr>
          <t>Jacob C Galzki:</t>
        </r>
        <r>
          <rPr>
            <sz val="9"/>
            <color indexed="81"/>
            <rFont val="Tahoma"/>
            <family val="2"/>
          </rPr>
          <t xml:space="preserve">
Numbers from Dosskey used in place of these due to higher site-specificity</t>
        </r>
      </text>
    </comment>
    <comment ref="AC38" authorId="0" shapeId="0" xr:uid="{00000000-0006-0000-0500-000003000000}">
      <text>
        <r>
          <rPr>
            <b/>
            <sz val="9"/>
            <color indexed="81"/>
            <rFont val="Tahoma"/>
            <family val="2"/>
          </rPr>
          <t>Jacob C Galzki:</t>
        </r>
        <r>
          <rPr>
            <sz val="9"/>
            <color indexed="81"/>
            <rFont val="Tahoma"/>
            <family val="2"/>
          </rPr>
          <t xml:space="preserve">
http://digitalcommons.unl.edu/cgi/viewcontent.cgi?article=1933&amp;context=usgsstaffpub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Jacob C Galzki</author>
  </authors>
  <commentList>
    <comment ref="O1" authorId="0" shapeId="0" xr:uid="{00000000-0006-0000-0800-000001000000}">
      <text>
        <r>
          <rPr>
            <b/>
            <sz val="9"/>
            <color indexed="81"/>
            <rFont val="Tahoma"/>
            <family val="2"/>
          </rPr>
          <t>Jacob C Galzki:</t>
        </r>
        <r>
          <rPr>
            <sz val="9"/>
            <color indexed="81"/>
            <rFont val="Tahoma"/>
            <family val="2"/>
          </rPr>
          <t xml:space="preserve">
1(sediment), 2(water/dissolved)</t>
        </r>
      </text>
    </comment>
  </commentList>
</comments>
</file>

<file path=xl/sharedStrings.xml><?xml version="1.0" encoding="utf-8"?>
<sst xmlns="http://schemas.openxmlformats.org/spreadsheetml/2006/main" count="2731" uniqueCount="400">
  <si>
    <t>Average</t>
  </si>
  <si>
    <t>Best</t>
  </si>
  <si>
    <t>Fall Tillage</t>
  </si>
  <si>
    <t>Moldboard Plow</t>
  </si>
  <si>
    <t>Chisel/heavy disk/strip/injections</t>
  </si>
  <si>
    <t>Light Disk</t>
  </si>
  <si>
    <t>Fertilizer Incorporation</t>
  </si>
  <si>
    <t>Broadcast/not incorporated</t>
  </si>
  <si>
    <t>Disk large</t>
  </si>
  <si>
    <t>Chisel</t>
  </si>
  <si>
    <t>Manure Incorporation</t>
  </si>
  <si>
    <t>Residue cover</t>
  </si>
  <si>
    <t>&lt;5%</t>
  </si>
  <si>
    <t>5-20%</t>
  </si>
  <si>
    <t>&gt;20%</t>
  </si>
  <si>
    <t>Tillage orientation</t>
  </si>
  <si>
    <t>Up and down slope</t>
  </si>
  <si>
    <t>Cross Slope</t>
  </si>
  <si>
    <t>Alluvium &amp; Outwash</t>
  </si>
  <si>
    <t>Anoka Sand Plains</t>
  </si>
  <si>
    <t>Blufflands</t>
  </si>
  <si>
    <t>Central Till</t>
  </si>
  <si>
    <t>Coteau</t>
  </si>
  <si>
    <t>Drumlins</t>
  </si>
  <si>
    <t>Dryer BE Till</t>
  </si>
  <si>
    <t>Dryer Clays &amp; Silts</t>
  </si>
  <si>
    <t>Dryer Till</t>
  </si>
  <si>
    <t>Inner Coteau</t>
  </si>
  <si>
    <t>Inter-Beach Sand Bars</t>
  </si>
  <si>
    <t>Level Plains</t>
  </si>
  <si>
    <t>Mahnomen Lake Sediments</t>
  </si>
  <si>
    <t>Poorly Drained BE Till</t>
  </si>
  <si>
    <t>Poorly Drained Lake Sedimen</t>
  </si>
  <si>
    <t>Rochester Plateau</t>
  </si>
  <si>
    <t>Rolling Moraine</t>
  </si>
  <si>
    <t>Somewhat Poorly Drained Lake</t>
  </si>
  <si>
    <t>Steep Dryer Moraine</t>
  </si>
  <si>
    <t>Steep Stream Banks</t>
  </si>
  <si>
    <t>Steep Valley Walls</t>
  </si>
  <si>
    <t>Steep Wetter Moraine</t>
  </si>
  <si>
    <t>Steeper Alluvium</t>
  </si>
  <si>
    <t>Steeper Till</t>
  </si>
  <si>
    <t>Stream Banks</t>
  </si>
  <si>
    <t>Swelling Clay Lake Sediments</t>
  </si>
  <si>
    <t>Undulating Plains</t>
  </si>
  <si>
    <t>Very Poorly Drained Lake Sedi</t>
  </si>
  <si>
    <t>Wetter BE Till</t>
  </si>
  <si>
    <t>Wetter Clays &amp; Silts</t>
  </si>
  <si>
    <t>Agroecoregion</t>
  </si>
  <si>
    <t>Field Length</t>
  </si>
  <si>
    <t>Average Slope</t>
  </si>
  <si>
    <t>C Factor</t>
  </si>
  <si>
    <t>Representative Initial Line #</t>
  </si>
  <si>
    <t>Field Length Adjustment</t>
  </si>
  <si>
    <t>Slope Adjustment</t>
  </si>
  <si>
    <t>C Factor Adjustment</t>
  </si>
  <si>
    <t>Soil Text Adjustment</t>
  </si>
  <si>
    <t>Name</t>
  </si>
  <si>
    <t xml:space="preserve">C_new </t>
  </si>
  <si>
    <t>Final Line # (Total P)</t>
  </si>
  <si>
    <t>Final Line # (Sediment)</t>
  </si>
  <si>
    <t>Rep Field Length</t>
  </si>
  <si>
    <t>Rep Slope</t>
  </si>
  <si>
    <t>Rep C Fact</t>
  </si>
  <si>
    <t>Rep Soil Text</t>
  </si>
  <si>
    <t>Rep Pollutant</t>
  </si>
  <si>
    <t>Total P Adjustment</t>
  </si>
  <si>
    <t>Sediment Adjustment</t>
  </si>
  <si>
    <t>Fertlizer Rate</t>
  </si>
  <si>
    <t>U of M Recommendations</t>
  </si>
  <si>
    <t>Soil Test P (Bray PPM)</t>
  </si>
  <si>
    <t>125% (worst mgmt)</t>
  </si>
  <si>
    <t>P BMP Rates (P2O5 lb/ac)</t>
  </si>
  <si>
    <t>U of M Recs (P2O5 lb/ac)</t>
  </si>
  <si>
    <t>Average0</t>
  </si>
  <si>
    <t>Average16</t>
  </si>
  <si>
    <t>Average50</t>
  </si>
  <si>
    <t>Best0</t>
  </si>
  <si>
    <t>Best16</t>
  </si>
  <si>
    <t>Best50</t>
  </si>
  <si>
    <t>Very Poorly Drained Lake Sed</t>
  </si>
  <si>
    <t xml:space="preserve">Wetter Blue Earth Till </t>
  </si>
  <si>
    <t>Wetter Clays and silts</t>
  </si>
  <si>
    <t>Crop year</t>
  </si>
  <si>
    <t>County</t>
  </si>
  <si>
    <t>Mgmt system name</t>
  </si>
  <si>
    <t>P Fertilizer Rate Lbs/ac P2O5</t>
  </si>
  <si>
    <t>Alluvium and Outwash</t>
  </si>
  <si>
    <t>Dryer Blue Earth Till</t>
  </si>
  <si>
    <t>Dryer Clays and Silts</t>
  </si>
  <si>
    <t>Poorly Drained Blue Earth Till</t>
  </si>
  <si>
    <t>Poorly Drained Lake Sediments</t>
  </si>
  <si>
    <t>Somewhat Poorly Drained Lake Sed</t>
  </si>
  <si>
    <t>Swelling Clay Lake Sed</t>
  </si>
  <si>
    <t>Reference Column</t>
  </si>
  <si>
    <t>Reference Cell</t>
  </si>
  <si>
    <t>Command</t>
  </si>
  <si>
    <t>E</t>
  </si>
  <si>
    <t>D</t>
  </si>
  <si>
    <t>C</t>
  </si>
  <si>
    <t>Forumula</t>
  </si>
  <si>
    <t/>
  </si>
  <si>
    <t>P Fertilizer Rate'!</t>
  </si>
  <si>
    <t>Total Sediment Export (t/ac/yr)</t>
  </si>
  <si>
    <t>Baseline - No Buffer Considered</t>
  </si>
  <si>
    <t>Public Ditch - 16.5' Buffer</t>
  </si>
  <si>
    <t>% Sediment Reduction from 16.5 ' buffer</t>
  </si>
  <si>
    <t>% Phosphorus Reduction from 16.5' buffer</t>
  </si>
  <si>
    <t>Public Water - 50' Buffer</t>
  </si>
  <si>
    <t>% Sediment Reduction from 50 ' buffer</t>
  </si>
  <si>
    <t>% Phosphorus Reduction from 50' buffer</t>
  </si>
  <si>
    <t>Average Mgmt</t>
  </si>
  <si>
    <t>Best Mgmt</t>
  </si>
  <si>
    <t>Coeficient a (Total P)</t>
  </si>
  <si>
    <t>Coefficient b (Total P)</t>
  </si>
  <si>
    <t>Coeficient a (Sediment)</t>
  </si>
  <si>
    <t>Coefficient b (Sediment)</t>
  </si>
  <si>
    <t>C_worst</t>
  </si>
  <si>
    <t>C_best</t>
  </si>
  <si>
    <t>Worst management multiplier</t>
  </si>
  <si>
    <t>Best Management multiplier</t>
  </si>
  <si>
    <t>Total Phosphorus Export (lbs P/ac/yr)</t>
  </si>
  <si>
    <t>P export from P Index Risk</t>
  </si>
  <si>
    <t>% Reduction</t>
  </si>
  <si>
    <t>Management Practice</t>
  </si>
  <si>
    <t>0 to 16.5</t>
  </si>
  <si>
    <t>16.5 to 50</t>
  </si>
  <si>
    <t>0 to 50</t>
  </si>
  <si>
    <t>% Reduction based on buffer installment</t>
  </si>
  <si>
    <t>Sediment</t>
  </si>
  <si>
    <t>Phosphorus</t>
  </si>
  <si>
    <t>Avg to Best</t>
  </si>
  <si>
    <t>% Reduction based on Management changes</t>
  </si>
  <si>
    <t>Contour Buffer Strips</t>
  </si>
  <si>
    <t>Cover Crops</t>
  </si>
  <si>
    <t>Conservation Crop Rotation</t>
  </si>
  <si>
    <t>Pasture/Hay Planting</t>
  </si>
  <si>
    <t>Conservation Tillage</t>
  </si>
  <si>
    <t>Contour Stripcropping</t>
  </si>
  <si>
    <t>Grassed Waterways</t>
  </si>
  <si>
    <t>Terraces</t>
  </si>
  <si>
    <t>Critical Area Planting</t>
  </si>
  <si>
    <t>Filter Strips</t>
  </si>
  <si>
    <t>WaSCoB</t>
  </si>
  <si>
    <t>Constructed Wetland</t>
  </si>
  <si>
    <t>Sed.</t>
  </si>
  <si>
    <t>P</t>
  </si>
  <si>
    <t>L</t>
  </si>
  <si>
    <t>M</t>
  </si>
  <si>
    <t>H</t>
  </si>
  <si>
    <t>Restored Wetland (Riparian)</t>
  </si>
  <si>
    <t xml:space="preserve"> L-M</t>
  </si>
  <si>
    <t xml:space="preserve">  </t>
  </si>
  <si>
    <t xml:space="preserve">  L-M</t>
  </si>
  <si>
    <t xml:space="preserve">  M</t>
  </si>
  <si>
    <t xml:space="preserve">  M-H</t>
  </si>
  <si>
    <t>83-91</t>
  </si>
  <si>
    <t>Statewide Removal %</t>
  </si>
  <si>
    <t>Applies only to steep fields</t>
  </si>
  <si>
    <t>30-94</t>
  </si>
  <si>
    <t>49-80</t>
  </si>
  <si>
    <t>20-50</t>
  </si>
  <si>
    <t>32-92</t>
  </si>
  <si>
    <t>43-95</t>
  </si>
  <si>
    <t>70-85</t>
  </si>
  <si>
    <t>77-97</t>
  </si>
  <si>
    <t>80-95</t>
  </si>
  <si>
    <t>76-91</t>
  </si>
  <si>
    <t>38-96</t>
  </si>
  <si>
    <t>64-99</t>
  </si>
  <si>
    <t>74-80</t>
  </si>
  <si>
    <t>71-74</t>
  </si>
  <si>
    <t>P Reduction (lbs P/ac/yr)</t>
  </si>
  <si>
    <t>Sediment Reduction (t/ac/yr)</t>
  </si>
  <si>
    <t>Public Ditch - 16.5' Buffer Reductions in Export</t>
  </si>
  <si>
    <t>Public Water - 50' Buffer Reductions In Export</t>
  </si>
  <si>
    <t>Final Line # (Total P with berm)</t>
  </si>
  <si>
    <t>Final Line # (Sediment with berm)</t>
  </si>
  <si>
    <t>Coeficient a (Total P w/berm)</t>
  </si>
  <si>
    <t>Coefficient b (Total P w/berm)</t>
  </si>
  <si>
    <t>Coeficient a (Sediment w/berm)</t>
  </si>
  <si>
    <t>Coefficient b (Sediment w/berm)</t>
  </si>
  <si>
    <t>Current Management Condition</t>
  </si>
  <si>
    <t>Poor</t>
  </si>
  <si>
    <t>Baseline</t>
  </si>
  <si>
    <t>Sediment Export Reduction (t/ac/yr)</t>
  </si>
  <si>
    <t>Sediment Export (t/ac/yr)</t>
  </si>
  <si>
    <t>Total P Export (lbs P/ac/yr)</t>
  </si>
  <si>
    <t>Phosphorus Export Reduction (lbs P/ac/yr)</t>
  </si>
  <si>
    <t>Baseline Sediment Export (t/ac/yr)</t>
  </si>
  <si>
    <t>Baseline Phosphorus Export (lbs P/ac/yr)</t>
  </si>
  <si>
    <t xml:space="preserve">Average Fanmap Rates </t>
  </si>
  <si>
    <t>125% Fanmap Rates</t>
  </si>
  <si>
    <t>Grade Stabilization</t>
  </si>
  <si>
    <t>Avg SPI</t>
  </si>
  <si>
    <t>Field Length Addition</t>
  </si>
  <si>
    <t xml:space="preserve">Sediment delivery from RUSLE2
</t>
  </si>
  <si>
    <t xml:space="preserve">Hydro-logic group
</t>
  </si>
  <si>
    <t xml:space="preserve">Soil texture and pH
</t>
  </si>
  <si>
    <t xml:space="preserve">Percent
OM
(%)
</t>
  </si>
  <si>
    <t>Olsen P ppm (no formula)</t>
  </si>
  <si>
    <t xml:space="preserve">Test year
</t>
  </si>
  <si>
    <t xml:space="preserve">Sedi-ment traps
</t>
  </si>
  <si>
    <t xml:space="preserve">Dist. to water (ft.)
</t>
  </si>
  <si>
    <t>Current crop type</t>
  </si>
  <si>
    <t xml:space="preserve">Residue cover after planting
</t>
  </si>
  <si>
    <t xml:space="preserve">Last year's crop
</t>
  </si>
  <si>
    <t xml:space="preserve">Last year's crop yield
</t>
  </si>
  <si>
    <t xml:space="preserve">Tillage last fall
</t>
  </si>
  <si>
    <t xml:space="preserve">Tillage orient-ation
</t>
  </si>
  <si>
    <t xml:space="preserve">Anhyd-rous ammonia 
</t>
  </si>
  <si>
    <t>Fert. applica-tion and incorp. method</t>
  </si>
  <si>
    <t>lbs P2O5/acre applied this crop year (pre-soil test )</t>
  </si>
  <si>
    <t>post-soil test</t>
  </si>
  <si>
    <t>lbs P2O5/acre applied this crop year (not incorporated)</t>
  </si>
  <si>
    <t>Manure applica-tion and incorp. method</t>
  </si>
  <si>
    <t xml:space="preserve">pre-soil test </t>
  </si>
  <si>
    <t>B</t>
  </si>
  <si>
    <t>n</t>
  </si>
  <si>
    <t>A</t>
  </si>
  <si>
    <t>old field length</t>
  </si>
  <si>
    <t>Addition for berm</t>
  </si>
  <si>
    <t>Sediment Delivery</t>
  </si>
  <si>
    <t>Sediment Yield (t/ac/yr)</t>
  </si>
  <si>
    <t>P Index Result</t>
  </si>
  <si>
    <t>P Yield (lb P/ac/yr)</t>
  </si>
  <si>
    <t>Berms?</t>
  </si>
  <si>
    <t>Yes</t>
  </si>
  <si>
    <t>No</t>
  </si>
  <si>
    <t>Soil Texture</t>
  </si>
  <si>
    <t>Average field Slope</t>
  </si>
  <si>
    <t>Coeficient a</t>
  </si>
  <si>
    <t>Coefficient b</t>
  </si>
  <si>
    <t>Initial Reference Line</t>
  </si>
  <si>
    <t>C Factor Standard Adjustment</t>
  </si>
  <si>
    <t>Reference Slope</t>
  </si>
  <si>
    <t>Slope Classes</t>
  </si>
  <si>
    <t>0 - 2.5 %</t>
  </si>
  <si>
    <t>2.5% - 5%</t>
  </si>
  <si>
    <t>5% - 7.5%</t>
  </si>
  <si>
    <t>7.5% - 10%</t>
  </si>
  <si>
    <t>10% - 12.5%</t>
  </si>
  <si>
    <t>12.5% - 15%</t>
  </si>
  <si>
    <t>15% - 17.5%</t>
  </si>
  <si>
    <t>17.5% - 20%</t>
  </si>
  <si>
    <t>20% - 22.5%</t>
  </si>
  <si>
    <t>22.5% - 25%</t>
  </si>
  <si>
    <t>25% - 27.5%</t>
  </si>
  <si>
    <t>27.5% - 30%</t>
  </si>
  <si>
    <t>30% - 32.5%</t>
  </si>
  <si>
    <t>32.5% - 35%</t>
  </si>
  <si>
    <t>35% - 37.5%</t>
  </si>
  <si>
    <t>37.5% - 40%</t>
  </si>
  <si>
    <t>40% - 42.5%</t>
  </si>
  <si>
    <t>42.5% - 45%</t>
  </si>
  <si>
    <t>&gt;45%</t>
  </si>
  <si>
    <t>Reference Soil Texture</t>
  </si>
  <si>
    <t>Soil Texture Adjustment</t>
  </si>
  <si>
    <t>Total P Reference Line</t>
  </si>
  <si>
    <t>Reference Pollutant</t>
  </si>
  <si>
    <t>Pollutant Adjustment</t>
  </si>
  <si>
    <t>Sediment Reference Line</t>
  </si>
  <si>
    <t>Final Sediment Line #</t>
  </si>
  <si>
    <t>Final Total P Line #</t>
  </si>
  <si>
    <t>Total P Removal % (50' Buffer)</t>
  </si>
  <si>
    <t>Total P Removal % (16.5' Buffer)</t>
  </si>
  <si>
    <t>Sediment Removal % (16.5' Buffer)</t>
  </si>
  <si>
    <t>Sediment Removal % (50' Buffer)</t>
  </si>
  <si>
    <t>Chisel/heavy disk</t>
  </si>
  <si>
    <t>Buffer Width Required</t>
  </si>
  <si>
    <t>Buffer Width</t>
  </si>
  <si>
    <t>16.5' (Public Ditch)</t>
  </si>
  <si>
    <t>50' (Public Water)</t>
  </si>
  <si>
    <t>Phosphorus Reduction Goal (lbs P/ac/yr)</t>
  </si>
  <si>
    <t>Alternative BMP Choices</t>
  </si>
  <si>
    <t>Best Management Practice (NRCS Standard #)</t>
  </si>
  <si>
    <t>Conservation Crop Rotation (328)</t>
  </si>
  <si>
    <t>Cover Crops (340)</t>
  </si>
  <si>
    <t>Contour Buffer Strips (332)</t>
  </si>
  <si>
    <t>Contour Stripcropping (585)</t>
  </si>
  <si>
    <t>Grassed Waterway (412)</t>
  </si>
  <si>
    <t>Terraces (600)</t>
  </si>
  <si>
    <t>Water and Sediment Control Basin (638)</t>
  </si>
  <si>
    <t>Wetland Restoration (657)</t>
  </si>
  <si>
    <t>Wetland Construction (658)</t>
  </si>
  <si>
    <t>Representative Removal %</t>
  </si>
  <si>
    <t>Acceptable BMP Combination?</t>
  </si>
  <si>
    <t>Management Condition Examples</t>
  </si>
  <si>
    <t>Are riparian berms present that interrupt sheet flow?</t>
  </si>
  <si>
    <t>Poor Mgmt</t>
  </si>
  <si>
    <t>Poor to Avg</t>
  </si>
  <si>
    <t>Poor to Best</t>
  </si>
  <si>
    <t>Poor 0</t>
  </si>
  <si>
    <t>Poor16</t>
  </si>
  <si>
    <t>Poor50</t>
  </si>
  <si>
    <t>Length (m) needed to reach P goal</t>
  </si>
  <si>
    <t>Removal % of current suite</t>
  </si>
  <si>
    <t>Length (ft) needed to reach P goal</t>
  </si>
  <si>
    <t>Minimum buffer width (m) to reach P Goal</t>
  </si>
  <si>
    <t>Minimum buffer width (ft) to reach P Goal</t>
  </si>
  <si>
    <t>Additional removal needed</t>
  </si>
  <si>
    <t>2-100</t>
  </si>
  <si>
    <t>46.5-82.25</t>
  </si>
  <si>
    <t>"Steep Field" Representative Removal</t>
  </si>
  <si>
    <t>BMP ref</t>
  </si>
  <si>
    <t>Side Inlets (410)</t>
  </si>
  <si>
    <t>Reduced Buffer Widths</t>
  </si>
  <si>
    <t>Reduced Width Buffer Options (Feet)</t>
  </si>
  <si>
    <t>Total P Removal % of reduced width buffer</t>
  </si>
  <si>
    <t>Sediment Removal % of reduced width buffer</t>
  </si>
  <si>
    <t>Total Reduction of selected BMPs</t>
  </si>
  <si>
    <t>Enter % of total field runoff that drains to WASCOB</t>
  </si>
  <si>
    <t>Enter % of total field runoff that drains to side inlets</t>
  </si>
  <si>
    <t>Enter % of total field runoff that drains to grassed waterways</t>
  </si>
  <si>
    <t>Description</t>
  </si>
  <si>
    <t>B5</t>
  </si>
  <si>
    <t>B6</t>
  </si>
  <si>
    <t>Use the drop down list to select the agroecoregion where the parcel of land is located.  Spatial agroecoregion data can be found here: https://gisdata.mn.gov/dataset/agri-agroecoregions</t>
  </si>
  <si>
    <t>B7</t>
  </si>
  <si>
    <t>Select "Yes" in this drop down list if riparian berms are present along all surface waters that divert typical sheet flows and cause water to enter streams and ditches at concentrated locations (ex. Gullies, side-inlets, artificial drainage structures, etc.).  If berms are not present and overland runoff largely exists as sheet flow, select "No" for this option.</t>
  </si>
  <si>
    <t>Vegetative Buffer Reduction Goal</t>
  </si>
  <si>
    <t>Input Title</t>
  </si>
  <si>
    <t>B13</t>
  </si>
  <si>
    <t>Select a 50 foot buffer where required for public waters, and a 16.5 foot buffer for public ditches.  A statewide map that determines site-specific requirements can be found at: http://arcgis.dnr.state.mn.us/gis/buffersviewer/</t>
  </si>
  <si>
    <t>Average Field Slope</t>
  </si>
  <si>
    <t>B14</t>
  </si>
  <si>
    <t>Define the site-specific field slope.  A drop down list is given with increments of 2.5% slope</t>
  </si>
  <si>
    <t>B15</t>
  </si>
  <si>
    <t>Model Output</t>
  </si>
  <si>
    <t>B8</t>
  </si>
  <si>
    <t>This value represents the average expected sediment export given the baseline site conditions selected.</t>
  </si>
  <si>
    <t>This value represents the average expected total phosphorus export given the baseline site conditions selected.</t>
  </si>
  <si>
    <t>B9</t>
  </si>
  <si>
    <t>Baseline Site Conditions without Vegetative Buffer</t>
  </si>
  <si>
    <t>Vegetative Buffer Water Quality Improvement Goals</t>
  </si>
  <si>
    <t>B16</t>
  </si>
  <si>
    <t>B17</t>
  </si>
  <si>
    <t>This value represents the expected sediment reduction from a vegetative buffer given user-defined site-specific characteristics.  It is the benchmark used to compare sediment reductions from combinations of alternative management practices.</t>
  </si>
  <si>
    <t>This value represents the expected total posphorus reduction from a vegetative buffer given user-defined site-specific characteristics.  It is the benchmark used to compare total phosphorus reductions from combinations of alternative management practices.</t>
  </si>
  <si>
    <t>Considerations for specific alternative practices</t>
  </si>
  <si>
    <t>Cell</t>
  </si>
  <si>
    <t>Reduced Width Buffer Options (feet)</t>
  </si>
  <si>
    <t>Percent of runoff draining to WASCOB</t>
  </si>
  <si>
    <t>Percent of runoff draining to Side Inlets</t>
  </si>
  <si>
    <t>Percent of runoff draining to Grassed Waterways</t>
  </si>
  <si>
    <t>Enter a whole number value between 0 and 100.  This number, determined by a regional conservation planner, represents the amount of surface runoff affected by the alternative practice in question.</t>
  </si>
  <si>
    <t>Alternative BMP Decision Tool</t>
  </si>
  <si>
    <t>Enter % of total field runoff that drains to wetland</t>
  </si>
  <si>
    <t>Instructions</t>
  </si>
  <si>
    <t>Vegetative Buffer Sediment Reduction Goal (t/ac/yr)</t>
  </si>
  <si>
    <t>Vegetative Buffer Phosphorus Reduction Goal (lbs P/ac/yr)</t>
  </si>
  <si>
    <t>Percent of runoff draining to Constructed Wetland</t>
  </si>
  <si>
    <t>Percent runoff draining to Restored Wetland</t>
  </si>
  <si>
    <t>When all baseline site conditions have been entered, navigate to the "Alternative BMP Choices" worksheet.</t>
  </si>
  <si>
    <t>Baseline Conditions Worksheet (STEP 1)</t>
  </si>
  <si>
    <t>Alternative BMP Choices Worksheet (STEP 2)</t>
  </si>
  <si>
    <t>Phosphorus Reduction (lb P/ac/yr)</t>
  </si>
  <si>
    <t>Reduced width Buffer (*)</t>
  </si>
  <si>
    <t>No-Till/Strip-Till (329)</t>
  </si>
  <si>
    <t>Field-wide Practices</t>
  </si>
  <si>
    <t>Low end removal (poor mgmt)</t>
  </si>
  <si>
    <t>Avg Mgmt removal</t>
  </si>
  <si>
    <t>Best Mgmt removal</t>
  </si>
  <si>
    <t xml:space="preserve">All practices within the best management condition must be met for this option to be chosen.  For example, if a field has light disk plowing, U of M recommended fertilizer rates, chisel manure and fertilizer incorporation, and maintains &gt;20% residue cover yet it has tillage up and down the slope of the field, it is considered to be in the poor management category for this analysis.  Note all practices within a specific field, and the worst practice, or practice that lands farthest to the left in this table, will qualify that field for its representative management condition. </t>
  </si>
  <si>
    <t>E11</t>
  </si>
  <si>
    <t>Enter % of total field affected by terraces</t>
  </si>
  <si>
    <t>E12</t>
  </si>
  <si>
    <t>Percent of field affected by Terraces</t>
  </si>
  <si>
    <t>E13</t>
  </si>
  <si>
    <t>E14</t>
  </si>
  <si>
    <t>E15</t>
  </si>
  <si>
    <t>E16</t>
  </si>
  <si>
    <t>E17</t>
  </si>
  <si>
    <t>Checkboxes located adjacent to alternative management practices can be either checked or unchecked.  When checked, the adjacent alternative practice is assumed to be installed.  Reductions for sediment and total phosphorus are then given and are included in the total reduction for the selected combination of practices (Cells C18 and D18).  If a reduction potential is listed as "0.00", this indicates the alternative management practice in question is not suitable based on site conditions selected.  A combination of alternative practices that successfully meets the benchmark standard for equivalent or better water quality improvements of a vegetative buffer will then trigger cells C20 and D20 to turn green.</t>
  </si>
  <si>
    <t>Based on the width of the buffer required, alternative reduced width buffer options are given in a drop down list.  Based on the width selected, reductions are indicated and automatically added to the total.  This option must be checked and a positive whole number must be selected for buffer width.  This tool does not allow or recommend having no buffer in place.</t>
  </si>
  <si>
    <t>No till/strip till</t>
  </si>
  <si>
    <t>13-64</t>
  </si>
  <si>
    <t>60-90</t>
  </si>
  <si>
    <t>8-60</t>
  </si>
  <si>
    <t>Trapping and Controlling Practices</t>
  </si>
  <si>
    <t>*Reduced width buffer design shall be in compliance with Buffer law, only at a narrower width specified here.  This tool does not recommed removing buffers altogether in any situation.  For the tool to yield a satisfactory result, the "Reduced width buffer" option must be selected, and a value must be chosen in the corresponding dialog box.</t>
  </si>
  <si>
    <t>Use the drop down list to select the management condition that best represents the current tillage and fertilizer practices.  Examples of the three options can be found in the "Management Condition Ex." Worksheet.</t>
  </si>
  <si>
    <t>Two worksheets in this spreadsheet require user input, the "(STEP 1) Baseline Conditions" worksheet and the "(STEP 2) Alternative BMP Choices" worksheet.  All required input cells are highlighted in yellow.  Instructions for user-defined cells are as follows:</t>
  </si>
  <si>
    <t>Survey Rates (P2O5 lb/ac)</t>
  </si>
  <si>
    <t>Surveyx125% (worst mgmt)</t>
  </si>
  <si>
    <t>County:</t>
  </si>
  <si>
    <t>Owner:</t>
  </si>
  <si>
    <t>Parcel ID:</t>
  </si>
  <si>
    <t>Date:</t>
  </si>
  <si>
    <r>
      <rPr>
        <b/>
        <u/>
        <sz val="12"/>
        <color theme="1"/>
        <rFont val="Calibri"/>
        <family val="2"/>
        <scheme val="minor"/>
      </rPr>
      <t>Yellow cells require user input.</t>
    </r>
    <r>
      <rPr>
        <sz val="12"/>
        <color theme="1"/>
        <rFont val="Calibri"/>
        <family val="2"/>
        <scheme val="minor"/>
      </rPr>
      <t xml:space="preserve"> Checkboxes located adjacent to alternative management practices can be either checked or unchecked.  When checked, the adjacent alternative practice is assumed to be installed.  Reductions for sediment and total phosphorus are then given and are included in the total reduction for the selected combination of practices (Cells C19 and D19).  For the reduced width buffer BMP, click on cell E11 in yellow for  a dropdown list of reduced width buffer options.  For practices that only affect portions of the field (ex. Grassed Waterway, side inlets, etc.), a whole number percentage must be entered in the yellow cell in the appropriate row that indicates the approximate percentage of field runoff that is treated by that specific installed practice.  If a reduction potential is listed as "0.00", this indicates a lack of defensible data regarding the alternative management practice in question based on site conditions selected or the percentage of field runoff the practice treats is set to 0.  A combination of alternative practices that successfully meets the benchmark standard for equivalent or better water quality improvements of a vegetative buffer will then trigger cells C20 and D20 to turn green.</t>
    </r>
  </si>
  <si>
    <t>Fertlizer Rate*</t>
  </si>
  <si>
    <t>125% Average Farmer Surveyed Rates*</t>
  </si>
  <si>
    <t>Average Farmer surveyed Rates *</t>
  </si>
  <si>
    <t>U of M Recommendations*</t>
  </si>
  <si>
    <t>*Fertilizer Rate Examples</t>
  </si>
  <si>
    <t>Coarse</t>
  </si>
  <si>
    <t>Medium</t>
  </si>
  <si>
    <t>Fine</t>
  </si>
  <si>
    <t>Define the site-specific soil texture.  A drop down list allows selections of coarse, medium, and fine.  Coarse soils include "Sand" and "Loamy Sand".  Medium Soils include "Coarse Sandy Loam", "Sandy Loam", "Fine Sandy Loam", "Very Fine Sandy Loam", "Loam", "Silt Loam", "Silt", "Clay Loam", "Sandy Clay Loam", and "Silty Clay Loam".  Fine Soils include "Sandy Clay", "Silty Clay", and "Clay".</t>
  </si>
  <si>
    <r>
      <rPr>
        <b/>
        <u/>
        <sz val="14"/>
        <color theme="1"/>
        <rFont val="Calibri"/>
        <family val="2"/>
        <scheme val="minor"/>
      </rPr>
      <t>Yellow Cells require user input</t>
    </r>
    <r>
      <rPr>
        <sz val="14"/>
        <color theme="1"/>
        <rFont val="Calibri"/>
        <family val="2"/>
        <scheme val="minor"/>
      </rPr>
      <t>.  Click on yellow cells and select your baseline site conditions using dropdown menus.  Once site conditions are selected, baseline expected contaminant export values are given (cells B8 and B9).  Then select the type of water in question (public water vs. public ditch) and further refine site slope and soil texture using drop down menus.  Coarse soils include "Sand" and "Loamy Sand".  Medium Soils include "Coarse Sandy Loam", "Sandy Loam", "Fine Sandy Loam", "Very Fine Sandy Loam", "Loam", "Silt Loam", "Silt", "Clay Loam", "Sandy Clay Loam", and "Silty Clay Loam".  Fine Soils include "Sandy Clay", "Silty Clay", and "Clay".  The tool will then update the expected reductions if the required buffer were installed based on site conditions (cells B16 and B17).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</si>
</sst>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0.000"/>
  </numFmts>
  <fonts count="19" x14ac:knownFonts="1">
    <font>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b/>
      <u/>
      <sz val="16"/>
      <color theme="1"/>
      <name val="Calibri"/>
      <family val="2"/>
      <scheme val="minor"/>
    </font>
    <font>
      <sz val="11"/>
      <color theme="1"/>
      <name val="Calibri"/>
      <family val="2"/>
      <scheme val="minor"/>
    </font>
    <font>
      <sz val="10"/>
      <color theme="1"/>
      <name val="Times New Roman"/>
      <family val="1"/>
    </font>
    <font>
      <b/>
      <sz val="10"/>
      <color theme="1"/>
      <name val="Arial"/>
      <family val="2"/>
    </font>
    <font>
      <sz val="10"/>
      <color theme="1"/>
      <name val="Arial"/>
      <family val="2"/>
    </font>
    <font>
      <b/>
      <sz val="11"/>
      <color theme="1"/>
      <name val="Calibri"/>
      <family val="2"/>
      <scheme val="minor"/>
    </font>
    <font>
      <sz val="14"/>
      <color theme="1"/>
      <name val="Calibri"/>
      <family val="2"/>
      <scheme val="minor"/>
    </font>
    <font>
      <sz val="9"/>
      <color theme="1"/>
      <name val="Calibri"/>
      <family val="2"/>
      <scheme val="minor"/>
    </font>
    <font>
      <b/>
      <sz val="16"/>
      <color theme="1"/>
      <name val="Calibri"/>
      <family val="2"/>
      <scheme val="minor"/>
    </font>
    <font>
      <sz val="12"/>
      <color theme="1"/>
      <name val="Calibri"/>
      <family val="2"/>
      <scheme val="minor"/>
    </font>
    <font>
      <b/>
      <u/>
      <sz val="18"/>
      <color theme="1"/>
      <name val="Calibri"/>
      <family val="2"/>
      <scheme val="minor"/>
    </font>
    <font>
      <b/>
      <u/>
      <sz val="14"/>
      <color theme="1"/>
      <name val="Calibri"/>
      <family val="2"/>
      <scheme val="minor"/>
    </font>
    <font>
      <b/>
      <u/>
      <sz val="12"/>
      <color theme="1"/>
      <name val="Calibri"/>
      <family val="2"/>
      <scheme val="minor"/>
    </font>
    <font>
      <sz val="10"/>
      <color theme="1"/>
      <name val="Calibri"/>
      <family val="2"/>
      <scheme val="minor"/>
    </font>
  </fonts>
  <fills count="31">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499984740745262"/>
        <bgColor indexed="64"/>
      </patternFill>
    </fill>
    <fill>
      <gradientFill type="path" left="0.5" right="0.5" top="0.5" bottom="0.5">
        <stop position="0">
          <color rgb="FFFFFF99"/>
        </stop>
        <stop position="1">
          <color rgb="FFFFC000"/>
        </stop>
      </gradientFill>
    </fill>
    <fill>
      <gradientFill type="path" left="0.5" right="0.5" top="0.5" bottom="0.5">
        <stop position="0">
          <color theme="3" tint="0.80001220740379042"/>
        </stop>
        <stop position="1">
          <color theme="4" tint="0.40000610370189521"/>
        </stop>
      </gradientFill>
    </fill>
    <fill>
      <gradientFill type="path" left="0.5" right="0.5" top="0.5" bottom="0.5">
        <stop position="0">
          <color theme="0" tint="-0.1490218817712943"/>
        </stop>
        <stop position="1">
          <color theme="0" tint="-0.34900967436750391"/>
        </stop>
      </gradientFill>
    </fill>
    <fill>
      <gradientFill type="path" left="0.5" right="0.5" top="0.5" bottom="0.5">
        <stop position="0">
          <color theme="0" tint="-0.1490218817712943"/>
        </stop>
        <stop position="1">
          <color theme="0" tint="-0.25098422193060094"/>
        </stop>
      </gradientFill>
    </fill>
    <fill>
      <gradientFill type="path" left="0.5" right="0.5" top="0.5" bottom="0.5">
        <stop position="0">
          <color theme="0" tint="-0.1490218817712943"/>
        </stop>
        <stop position="1">
          <color theme="0" tint="-0.49803155613879818"/>
        </stop>
      </gradientFill>
    </fill>
    <fill>
      <gradientFill type="path" left="0.5" right="0.5" top="0.5" bottom="0.5">
        <stop position="0">
          <color rgb="FFFFFF99"/>
        </stop>
        <stop position="1">
          <color rgb="FFFFCC00"/>
        </stop>
      </gradientFill>
    </fill>
    <fill>
      <gradientFill type="path" left="0.5" right="0.5" top="0.5" bottom="0.5">
        <stop position="0">
          <color theme="0" tint="-0.25098422193060094"/>
        </stop>
        <stop position="1">
          <color theme="0" tint="-0.49803155613879818"/>
        </stop>
      </gradientFill>
    </fill>
    <fill>
      <gradientFill type="path" left="0.5" right="0.5" top="0.5" bottom="0.5">
        <stop position="0">
          <color theme="0" tint="-5.0965910824915313E-2"/>
        </stop>
        <stop position="1">
          <color theme="0" tint="-0.25098422193060094"/>
        </stop>
      </gradientFill>
    </fill>
    <fill>
      <gradientFill type="path" left="0.5" right="0.5" top="0.5" bottom="0.5">
        <stop position="0">
          <color rgb="FFFFFF66"/>
        </stop>
        <stop position="1">
          <color rgb="FFFFCC00"/>
        </stop>
      </gradientFill>
    </fill>
    <fill>
      <gradientFill type="path" left="0.5" right="0.5" top="0.5" bottom="0.5">
        <stop position="0">
          <color rgb="FFFFFFCC"/>
        </stop>
        <stop position="1">
          <color rgb="FFFFFF66"/>
        </stop>
      </gradientFill>
    </fill>
    <fill>
      <gradientFill type="path" left="0.5" right="0.5" top="0.5" bottom="0.5">
        <stop position="0">
          <color rgb="FFFFFF99"/>
        </stop>
        <stop position="1">
          <color rgb="FFFFFF66"/>
        </stop>
      </gradientFill>
    </fill>
    <fill>
      <gradientFill type="path" left="0.5" right="0.5" top="0.5" bottom="0.5">
        <stop position="0">
          <color theme="5" tint="0.40000610370189521"/>
        </stop>
        <stop position="1">
          <color rgb="FFCE7674"/>
        </stop>
      </gradientFill>
    </fill>
    <fill>
      <gradientFill type="path" left="0.5" right="0.5" top="0.5" bottom="0.5">
        <stop position="0">
          <color theme="4" tint="0.59999389629810485"/>
        </stop>
        <stop position="1">
          <color rgb="FF789FCE"/>
        </stop>
      </gradientFill>
    </fill>
    <fill>
      <gradientFill type="path" left="0.5" right="0.5" top="0.5" bottom="0.5">
        <stop position="0">
          <color theme="4" tint="0.40000610370189521"/>
        </stop>
        <stop position="1">
          <color rgb="FF789FCE"/>
        </stop>
      </gradientFill>
    </fill>
    <fill>
      <gradientFill type="path" left="0.5" right="0.5" top="0.5" bottom="0.5">
        <stop position="0">
          <color theme="0" tint="-0.1490218817712943"/>
        </stop>
        <stop position="1">
          <color theme="4" tint="0.59999389629810485"/>
        </stop>
      </gradientFill>
    </fill>
    <fill>
      <gradientFill type="path" left="0.5" right="0.5" top="0.5" bottom="0.5">
        <stop position="0">
          <color theme="4" tint="0.80001220740379042"/>
        </stop>
        <stop position="1">
          <color theme="0" tint="-5.0965910824915313E-2"/>
        </stop>
      </gradientFill>
    </fill>
    <fill>
      <gradientFill type="path" left="0.5" right="0.5" top="0.5" bottom="0.5">
        <stop position="0">
          <color theme="0" tint="-5.0965910824915313E-2"/>
        </stop>
        <stop position="1">
          <color theme="0" tint="-0.34900967436750391"/>
        </stop>
      </gradientFill>
    </fill>
    <fill>
      <patternFill patternType="solid">
        <fgColor theme="0" tint="-0.249977111117893"/>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205">
    <xf numFmtId="0" fontId="0" fillId="0" borderId="0" xfId="0"/>
    <xf numFmtId="0" fontId="0" fillId="0" borderId="0" xfId="0" applyAlignment="1">
      <alignment horizontal="center"/>
    </xf>
    <xf numFmtId="164" fontId="0" fillId="0" borderId="0" xfId="0" applyNumberFormat="1"/>
    <xf numFmtId="0" fontId="0" fillId="0" borderId="0" xfId="0" applyAlignment="1">
      <alignment horizontal="center"/>
    </xf>
    <xf numFmtId="0" fontId="0" fillId="0" borderId="0" xfId="0" quotePrefix="1"/>
    <xf numFmtId="49" fontId="0" fillId="0" borderId="0" xfId="0" quotePrefix="1" applyNumberFormat="1"/>
    <xf numFmtId="2" fontId="0" fillId="0" borderId="0" xfId="0" applyNumberFormat="1"/>
    <xf numFmtId="0" fontId="0" fillId="0" borderId="0" xfId="0" applyAlignment="1">
      <alignment horizontal="center" wrapText="1"/>
    </xf>
    <xf numFmtId="2" fontId="0" fillId="5" borderId="0" xfId="0" applyNumberFormat="1" applyFill="1" applyAlignment="1">
      <alignment horizontal="center" wrapText="1"/>
    </xf>
    <xf numFmtId="0" fontId="0" fillId="2" borderId="0" xfId="0" applyFill="1" applyAlignment="1">
      <alignment horizontal="center"/>
    </xf>
    <xf numFmtId="2" fontId="0" fillId="4" borderId="0" xfId="0" applyNumberFormat="1" applyFill="1" applyAlignment="1">
      <alignment horizontal="center"/>
    </xf>
    <xf numFmtId="2" fontId="0" fillId="0" borderId="0" xfId="0" applyNumberFormat="1" applyAlignment="1">
      <alignment horizontal="center"/>
    </xf>
    <xf numFmtId="2" fontId="0" fillId="6" borderId="0" xfId="0" applyNumberFormat="1" applyFill="1" applyAlignment="1">
      <alignment horizontal="center" wrapText="1"/>
    </xf>
    <xf numFmtId="2" fontId="0" fillId="7" borderId="0" xfId="0" applyNumberFormat="1" applyFill="1" applyAlignment="1">
      <alignment horizontal="center"/>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0" xfId="0" applyFont="1" applyFill="1"/>
    <xf numFmtId="0" fontId="0" fillId="0" borderId="0" xfId="0" applyFill="1" applyBorder="1" applyAlignment="1">
      <alignment wrapText="1"/>
    </xf>
    <xf numFmtId="0" fontId="0" fillId="0" borderId="0" xfId="0" applyFill="1" applyBorder="1" applyAlignment="1"/>
    <xf numFmtId="0" fontId="0" fillId="0" borderId="0" xfId="0" applyFill="1" applyBorder="1"/>
    <xf numFmtId="2" fontId="0" fillId="6" borderId="3" xfId="0" applyNumberFormat="1" applyFill="1" applyBorder="1" applyAlignment="1">
      <alignment horizontal="center" wrapText="1"/>
    </xf>
    <xf numFmtId="2" fontId="0" fillId="6" borderId="4" xfId="0" applyNumberFormat="1" applyFill="1" applyBorder="1" applyAlignment="1">
      <alignment horizontal="center" wrapText="1"/>
    </xf>
    <xf numFmtId="2" fontId="0" fillId="7" borderId="3" xfId="0" applyNumberFormat="1" applyFill="1" applyBorder="1" applyAlignment="1">
      <alignment horizontal="center"/>
    </xf>
    <xf numFmtId="2" fontId="0" fillId="7" borderId="4" xfId="0" applyNumberFormat="1" applyFill="1" applyBorder="1" applyAlignment="1">
      <alignment horizontal="center"/>
    </xf>
    <xf numFmtId="2" fontId="0" fillId="7" borderId="5" xfId="0" applyNumberFormat="1" applyFill="1" applyBorder="1" applyAlignment="1">
      <alignment horizontal="center"/>
    </xf>
    <xf numFmtId="2" fontId="0" fillId="7" borderId="6" xfId="0" applyNumberFormat="1" applyFill="1" applyBorder="1" applyAlignment="1">
      <alignment horizontal="center"/>
    </xf>
    <xf numFmtId="2" fontId="0" fillId="5" borderId="3" xfId="0" applyNumberFormat="1" applyFill="1" applyBorder="1" applyAlignment="1">
      <alignment horizontal="center" wrapText="1"/>
    </xf>
    <xf numFmtId="2" fontId="0" fillId="5" borderId="4" xfId="0" applyNumberFormat="1" applyFill="1" applyBorder="1" applyAlignment="1">
      <alignment horizontal="center" wrapText="1"/>
    </xf>
    <xf numFmtId="2" fontId="0" fillId="4" borderId="3" xfId="0" applyNumberFormat="1" applyFill="1" applyBorder="1" applyAlignment="1">
      <alignment horizontal="center"/>
    </xf>
    <xf numFmtId="2" fontId="0" fillId="4" borderId="4" xfId="0" applyNumberFormat="1" applyFill="1" applyBorder="1" applyAlignment="1">
      <alignment horizontal="center"/>
    </xf>
    <xf numFmtId="2" fontId="0" fillId="4" borderId="5" xfId="0" applyNumberFormat="1" applyFill="1" applyBorder="1" applyAlignment="1">
      <alignment horizontal="center"/>
    </xf>
    <xf numFmtId="2" fontId="0" fillId="4" borderId="6" xfId="0" applyNumberFormat="1" applyFill="1" applyBorder="1" applyAlignment="1">
      <alignment horizontal="center"/>
    </xf>
    <xf numFmtId="0" fontId="0" fillId="3" borderId="3" xfId="0" applyFill="1" applyBorder="1" applyAlignment="1">
      <alignment horizontal="center" wrapText="1"/>
    </xf>
    <xf numFmtId="0" fontId="0" fillId="3" borderId="4" xfId="0" applyFill="1" applyBorder="1" applyAlignment="1">
      <alignment horizontal="center" wrapText="1"/>
    </xf>
    <xf numFmtId="2" fontId="0" fillId="2" borderId="3" xfId="0" applyNumberFormat="1" applyFill="1" applyBorder="1" applyAlignment="1">
      <alignment horizontal="center"/>
    </xf>
    <xf numFmtId="0" fontId="0" fillId="2" borderId="4" xfId="0" applyFill="1" applyBorder="1" applyAlignment="1">
      <alignment horizontal="center"/>
    </xf>
    <xf numFmtId="2" fontId="0" fillId="2" borderId="5" xfId="0" applyNumberFormat="1" applyFill="1" applyBorder="1" applyAlignment="1">
      <alignment horizontal="center"/>
    </xf>
    <xf numFmtId="0" fontId="0" fillId="2" borderId="6"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0" borderId="0" xfId="1" applyNumberFormat="1" applyFont="1"/>
    <xf numFmtId="0" fontId="7" fillId="0" borderId="0" xfId="0" applyFont="1" applyBorder="1" applyAlignment="1">
      <alignment vertical="center" wrapText="1"/>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ill="1" applyBorder="1" applyAlignment="1">
      <alignment horizontal="center"/>
    </xf>
    <xf numFmtId="0" fontId="8" fillId="0" borderId="0" xfId="0" applyFont="1" applyFill="1" applyBorder="1" applyAlignment="1">
      <alignment vertical="center" wrapText="1"/>
    </xf>
    <xf numFmtId="17"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xf>
    <xf numFmtId="0" fontId="5" fillId="0" borderId="0" xfId="0" applyFont="1" applyFill="1" applyAlignment="1">
      <alignment horizontal="center"/>
    </xf>
    <xf numFmtId="0" fontId="3" fillId="0" borderId="0" xfId="0" applyFont="1" applyFill="1" applyBorder="1" applyAlignment="1">
      <alignment horizontal="center"/>
    </xf>
    <xf numFmtId="2" fontId="0" fillId="0" borderId="0" xfId="0" applyNumberFormat="1" applyFill="1" applyAlignment="1">
      <alignment horizontal="center" wrapText="1"/>
    </xf>
    <xf numFmtId="2" fontId="0" fillId="0" borderId="0" xfId="0" applyNumberFormat="1" applyFill="1" applyAlignment="1">
      <alignment horizontal="center"/>
    </xf>
    <xf numFmtId="0" fontId="0" fillId="0" borderId="0" xfId="0"/>
    <xf numFmtId="0" fontId="0" fillId="0" borderId="0" xfId="0"/>
    <xf numFmtId="0" fontId="0" fillId="0" borderId="0" xfId="0"/>
    <xf numFmtId="1" fontId="0" fillId="0" borderId="0" xfId="0" applyNumberFormat="1" applyAlignment="1">
      <alignment horizontal="center"/>
    </xf>
    <xf numFmtId="0" fontId="3" fillId="0" borderId="9" xfId="0" applyFont="1" applyBorder="1"/>
    <xf numFmtId="0" fontId="3" fillId="0" borderId="10" xfId="0" applyFont="1" applyBorder="1"/>
    <xf numFmtId="0" fontId="12" fillId="10" borderId="8" xfId="0" applyFont="1" applyFill="1" applyBorder="1" applyAlignment="1">
      <alignment horizontal="center"/>
    </xf>
    <xf numFmtId="0" fontId="12" fillId="10" borderId="11" xfId="0" applyFont="1" applyFill="1" applyBorder="1" applyAlignment="1">
      <alignment horizontal="center"/>
    </xf>
    <xf numFmtId="0" fontId="12" fillId="10" borderId="6" xfId="0" applyFont="1" applyFill="1" applyBorder="1" applyAlignment="1">
      <alignment horizontal="center"/>
    </xf>
    <xf numFmtId="0" fontId="12" fillId="10" borderId="12" xfId="0" applyFont="1" applyFill="1" applyBorder="1" applyAlignment="1">
      <alignment horizontal="center"/>
    </xf>
    <xf numFmtId="0" fontId="12" fillId="8" borderId="8" xfId="0" applyFont="1" applyFill="1" applyBorder="1" applyAlignment="1">
      <alignment horizontal="center"/>
    </xf>
    <xf numFmtId="0" fontId="12" fillId="8" borderId="11" xfId="0" applyFont="1" applyFill="1" applyBorder="1" applyAlignment="1">
      <alignment horizontal="center"/>
    </xf>
    <xf numFmtId="0" fontId="10" fillId="9" borderId="7" xfId="0" applyFont="1" applyFill="1" applyBorder="1" applyAlignment="1">
      <alignment horizontal="center"/>
    </xf>
    <xf numFmtId="165" fontId="0" fillId="0" borderId="0" xfId="0" applyNumberFormat="1"/>
    <xf numFmtId="1" fontId="0" fillId="0" borderId="0" xfId="0" applyNumberFormat="1"/>
    <xf numFmtId="49" fontId="0" fillId="0" borderId="0" xfId="0" applyNumberFormat="1"/>
    <xf numFmtId="2" fontId="14" fillId="0" borderId="0" xfId="0" applyNumberFormat="1" applyFont="1" applyFill="1" applyBorder="1" applyAlignment="1">
      <alignment horizontal="center"/>
    </xf>
    <xf numFmtId="0" fontId="11" fillId="0" borderId="0" xfId="0" applyFont="1"/>
    <xf numFmtId="0" fontId="14" fillId="0" borderId="0" xfId="0" applyFo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1" fontId="14" fillId="0" borderId="0" xfId="0" applyNumberFormat="1" applyFont="1" applyFill="1" applyBorder="1" applyAlignment="1">
      <alignment horizontal="center"/>
    </xf>
    <xf numFmtId="2" fontId="3" fillId="14" borderId="7" xfId="0" applyNumberFormat="1" applyFont="1" applyFill="1" applyBorder="1" applyAlignment="1">
      <alignment horizontal="center"/>
    </xf>
    <xf numFmtId="0" fontId="4" fillId="13" borderId="11" xfId="0" applyFont="1" applyFill="1" applyBorder="1" applyAlignment="1">
      <alignment horizontal="center"/>
    </xf>
    <xf numFmtId="0" fontId="4" fillId="13" borderId="8" xfId="0" applyFont="1" applyFill="1" applyBorder="1" applyAlignment="1">
      <alignment horizontal="center"/>
    </xf>
    <xf numFmtId="0" fontId="3" fillId="14" borderId="18" xfId="0" applyFont="1" applyFill="1" applyBorder="1" applyAlignment="1">
      <alignment horizontal="center"/>
    </xf>
    <xf numFmtId="0" fontId="4" fillId="15" borderId="8" xfId="0" applyFont="1" applyFill="1" applyBorder="1" applyAlignment="1">
      <alignment horizontal="center"/>
    </xf>
    <xf numFmtId="0" fontId="4" fillId="15" borderId="20" xfId="0" applyFont="1" applyFill="1" applyBorder="1" applyAlignment="1">
      <alignment horizontal="center"/>
    </xf>
    <xf numFmtId="0" fontId="4" fillId="11" borderId="19" xfId="0" applyFont="1" applyFill="1" applyBorder="1" applyAlignment="1">
      <alignment horizontal="center"/>
    </xf>
    <xf numFmtId="0" fontId="0" fillId="0" borderId="0" xfId="0" applyAlignment="1">
      <alignment horizontal="center" vertical="center"/>
    </xf>
    <xf numFmtId="0" fontId="0" fillId="15" borderId="8" xfId="0" applyFill="1" applyBorder="1" applyAlignment="1">
      <alignment horizontal="center" vertical="center"/>
    </xf>
    <xf numFmtId="0" fontId="0" fillId="15" borderId="8" xfId="0" applyFill="1" applyBorder="1" applyAlignment="1">
      <alignment horizontal="center" vertical="center" wrapText="1"/>
    </xf>
    <xf numFmtId="49" fontId="14" fillId="0" borderId="0" xfId="0" applyNumberFormat="1" applyFont="1" applyAlignment="1">
      <alignment horizontal="center" wrapText="1"/>
    </xf>
    <xf numFmtId="0" fontId="0" fillId="15" borderId="17" xfId="0" applyFill="1" applyBorder="1" applyAlignment="1">
      <alignment horizontal="center" vertical="center" wrapText="1"/>
    </xf>
    <xf numFmtId="0" fontId="0" fillId="15" borderId="17" xfId="0" applyFill="1" applyBorder="1" applyAlignment="1">
      <alignment horizontal="center" vertical="center"/>
    </xf>
    <xf numFmtId="0" fontId="0" fillId="15" borderId="11" xfId="0" applyFill="1" applyBorder="1" applyAlignment="1">
      <alignment horizontal="center" vertical="center"/>
    </xf>
    <xf numFmtId="0" fontId="0" fillId="15" borderId="11" xfId="0" applyFill="1" applyBorder="1" applyAlignment="1">
      <alignment horizontal="center" vertical="center" wrapText="1"/>
    </xf>
    <xf numFmtId="0" fontId="4" fillId="14" borderId="23"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25" xfId="0" applyFont="1" applyFill="1" applyBorder="1" applyAlignment="1">
      <alignment horizontal="center" vertical="center" wrapText="1"/>
    </xf>
    <xf numFmtId="0" fontId="4" fillId="14" borderId="23" xfId="0" applyFont="1" applyFill="1" applyBorder="1" applyAlignment="1">
      <alignment horizontal="center" vertical="center" wrapText="1"/>
    </xf>
    <xf numFmtId="0" fontId="4" fillId="12" borderId="15" xfId="0" applyFont="1" applyFill="1" applyBorder="1" applyAlignment="1" applyProtection="1">
      <alignment horizontal="center"/>
      <protection locked="0"/>
    </xf>
    <xf numFmtId="0" fontId="4" fillId="12" borderId="14" xfId="0" applyFont="1" applyFill="1" applyBorder="1" applyAlignment="1" applyProtection="1">
      <alignment horizontal="center"/>
      <protection locked="0"/>
    </xf>
    <xf numFmtId="0" fontId="4" fillId="12" borderId="10" xfId="0" applyFont="1" applyFill="1" applyBorder="1" applyAlignment="1" applyProtection="1">
      <alignment horizontal="center"/>
      <protection locked="0"/>
    </xf>
    <xf numFmtId="164" fontId="4" fillId="17" borderId="7" xfId="0" applyNumberFormat="1" applyFont="1" applyFill="1" applyBorder="1" applyAlignment="1" applyProtection="1">
      <alignment horizontal="center"/>
      <protection locked="0"/>
    </xf>
    <xf numFmtId="1" fontId="14" fillId="17" borderId="7" xfId="0" applyNumberFormat="1" applyFont="1" applyFill="1" applyBorder="1" applyAlignment="1" applyProtection="1">
      <alignment horizontal="center"/>
      <protection locked="0"/>
    </xf>
    <xf numFmtId="0" fontId="0" fillId="0" borderId="0" xfId="0" applyProtection="1">
      <protection locked="0"/>
    </xf>
    <xf numFmtId="165" fontId="0" fillId="0" borderId="0" xfId="0" applyNumberFormat="1" applyProtection="1">
      <protection locked="0"/>
    </xf>
    <xf numFmtId="0" fontId="0" fillId="19" borderId="8" xfId="0" applyFill="1" applyBorder="1" applyAlignment="1">
      <alignment horizontal="center" vertical="center"/>
    </xf>
    <xf numFmtId="0" fontId="0" fillId="19" borderId="8" xfId="0" applyFill="1" applyBorder="1" applyAlignment="1">
      <alignment horizontal="center" vertical="center" wrapText="1"/>
    </xf>
    <xf numFmtId="0" fontId="4" fillId="14" borderId="28" xfId="0" applyFont="1" applyFill="1" applyBorder="1" applyAlignment="1">
      <alignment horizontal="center" vertical="center"/>
    </xf>
    <xf numFmtId="0" fontId="0" fillId="15" borderId="5" xfId="0" applyFill="1" applyBorder="1" applyAlignment="1">
      <alignment horizontal="center" vertical="center" wrapText="1"/>
    </xf>
    <xf numFmtId="0" fontId="0" fillId="15" borderId="18" xfId="0" applyFill="1" applyBorder="1" applyAlignment="1">
      <alignment horizontal="center" vertical="center" wrapText="1"/>
    </xf>
    <xf numFmtId="0" fontId="0" fillId="15" borderId="1" xfId="0" applyFill="1" applyBorder="1" applyAlignment="1">
      <alignment horizontal="center" vertical="center" wrapText="1"/>
    </xf>
    <xf numFmtId="0" fontId="4" fillId="14" borderId="28" xfId="0" applyFont="1" applyFill="1" applyBorder="1" applyAlignment="1">
      <alignment horizontal="center" vertical="center" wrapText="1"/>
    </xf>
    <xf numFmtId="0" fontId="4" fillId="14" borderId="8" xfId="0" applyFont="1" applyFill="1" applyBorder="1" applyAlignment="1">
      <alignment horizontal="center" vertical="center"/>
    </xf>
    <xf numFmtId="0" fontId="8" fillId="29" borderId="0" xfId="0" applyFont="1" applyFill="1" applyBorder="1" applyAlignment="1">
      <alignment vertical="center" wrapText="1"/>
    </xf>
    <xf numFmtId="0" fontId="4" fillId="15" borderId="17" xfId="0" applyFont="1" applyFill="1" applyBorder="1" applyAlignment="1">
      <alignment horizontal="center" vertical="center"/>
    </xf>
    <xf numFmtId="0" fontId="4" fillId="15" borderId="17" xfId="0" applyFont="1" applyFill="1" applyBorder="1" applyAlignment="1">
      <alignment horizontal="center" vertical="center" wrapText="1"/>
    </xf>
    <xf numFmtId="0" fontId="4" fillId="25" borderId="34" xfId="0" applyFont="1" applyFill="1" applyBorder="1" applyAlignment="1" applyProtection="1">
      <alignment horizontal="center"/>
    </xf>
    <xf numFmtId="2" fontId="14" fillId="26" borderId="35" xfId="0" applyNumberFormat="1" applyFont="1" applyFill="1" applyBorder="1" applyAlignment="1">
      <alignment horizontal="center"/>
    </xf>
    <xf numFmtId="2" fontId="14" fillId="26" borderId="36" xfId="0" applyNumberFormat="1" applyFont="1" applyFill="1" applyBorder="1" applyAlignment="1">
      <alignment horizontal="center"/>
    </xf>
    <xf numFmtId="0" fontId="4" fillId="25" borderId="37" xfId="0" applyFont="1" applyFill="1" applyBorder="1" applyAlignment="1" applyProtection="1">
      <alignment horizontal="center"/>
    </xf>
    <xf numFmtId="0" fontId="4" fillId="25" borderId="39" xfId="0" applyFont="1" applyFill="1" applyBorder="1" applyAlignment="1" applyProtection="1">
      <alignment horizontal="center"/>
    </xf>
    <xf numFmtId="0" fontId="4" fillId="15" borderId="11" xfId="0" applyFont="1" applyFill="1" applyBorder="1" applyAlignment="1">
      <alignment horizontal="center"/>
    </xf>
    <xf numFmtId="0" fontId="0" fillId="30" borderId="0" xfId="0" applyFill="1"/>
    <xf numFmtId="0" fontId="0" fillId="0" borderId="0" xfId="0" applyAlignment="1">
      <alignment horizontal="center"/>
    </xf>
    <xf numFmtId="0" fontId="4" fillId="25" borderId="43" xfId="0" applyFont="1" applyFill="1" applyBorder="1" applyAlignment="1" applyProtection="1">
      <alignment horizontal="center"/>
    </xf>
    <xf numFmtId="0" fontId="4" fillId="25" borderId="23" xfId="0" applyFont="1" applyFill="1" applyBorder="1" applyAlignment="1" applyProtection="1">
      <alignment horizontal="center"/>
    </xf>
    <xf numFmtId="164" fontId="0" fillId="0" borderId="0" xfId="0" applyNumberFormat="1" applyAlignment="1">
      <alignment horizontal="center"/>
    </xf>
    <xf numFmtId="0" fontId="17" fillId="0" borderId="0" xfId="0" applyFont="1" applyAlignment="1">
      <alignment horizontal="center"/>
    </xf>
    <xf numFmtId="0" fontId="3" fillId="0" borderId="0" xfId="0" applyFont="1"/>
    <xf numFmtId="166" fontId="14" fillId="26" borderId="8" xfId="0" applyNumberFormat="1" applyFont="1" applyFill="1" applyBorder="1" applyAlignment="1">
      <alignment horizontal="center"/>
    </xf>
    <xf numFmtId="166" fontId="14" fillId="26" borderId="38" xfId="0" applyNumberFormat="1" applyFont="1" applyFill="1" applyBorder="1" applyAlignment="1">
      <alignment horizontal="center"/>
    </xf>
    <xf numFmtId="166" fontId="14" fillId="26" borderId="40" xfId="0" applyNumberFormat="1" applyFont="1" applyFill="1" applyBorder="1" applyAlignment="1">
      <alignment horizontal="center"/>
    </xf>
    <xf numFmtId="166" fontId="14" fillId="26" borderId="41" xfId="0" applyNumberFormat="1" applyFont="1" applyFill="1" applyBorder="1" applyAlignment="1">
      <alignment horizontal="center"/>
    </xf>
    <xf numFmtId="166" fontId="14" fillId="26" borderId="24" xfId="0" applyNumberFormat="1" applyFont="1" applyFill="1" applyBorder="1" applyAlignment="1">
      <alignment horizontal="center"/>
    </xf>
    <xf numFmtId="166" fontId="14" fillId="26" borderId="25" xfId="0" applyNumberFormat="1" applyFont="1" applyFill="1" applyBorder="1" applyAlignment="1">
      <alignment horizontal="center"/>
    </xf>
    <xf numFmtId="166" fontId="14" fillId="26" borderId="11" xfId="0" applyNumberFormat="1" applyFont="1" applyFill="1" applyBorder="1" applyAlignment="1">
      <alignment horizontal="center"/>
    </xf>
    <xf numFmtId="166" fontId="14" fillId="26" borderId="44" xfId="0" applyNumberFormat="1" applyFont="1" applyFill="1" applyBorder="1" applyAlignment="1">
      <alignment horizontal="center"/>
    </xf>
    <xf numFmtId="166" fontId="14" fillId="26" borderId="17" xfId="0" applyNumberFormat="1" applyFont="1" applyFill="1" applyBorder="1" applyAlignment="1">
      <alignment horizontal="center"/>
    </xf>
    <xf numFmtId="166" fontId="14" fillId="26" borderId="42" xfId="0" applyNumberFormat="1" applyFont="1" applyFill="1" applyBorder="1" applyAlignment="1">
      <alignment horizontal="center"/>
    </xf>
    <xf numFmtId="166" fontId="4" fillId="16" borderId="11" xfId="0" applyNumberFormat="1" applyFont="1" applyFill="1" applyBorder="1" applyAlignment="1">
      <alignment horizontal="center"/>
    </xf>
    <xf numFmtId="166" fontId="4" fillId="16" borderId="8" xfId="0" applyNumberFormat="1" applyFont="1" applyFill="1" applyBorder="1" applyAlignment="1">
      <alignment horizontal="center"/>
    </xf>
    <xf numFmtId="0" fontId="4" fillId="22" borderId="20" xfId="0" applyFont="1" applyFill="1" applyBorder="1" applyAlignment="1">
      <alignment horizontal="center" vertical="center" wrapText="1"/>
    </xf>
    <xf numFmtId="0" fontId="4" fillId="22" borderId="22" xfId="0" applyFont="1" applyFill="1" applyBorder="1" applyAlignment="1">
      <alignment horizontal="center" vertical="center" wrapText="1"/>
    </xf>
    <xf numFmtId="0" fontId="4" fillId="22" borderId="0" xfId="0" applyFont="1" applyFill="1" applyBorder="1" applyAlignment="1">
      <alignment horizontal="center" vertical="center" wrapText="1"/>
    </xf>
    <xf numFmtId="0" fontId="15" fillId="18" borderId="26" xfId="0" applyFont="1" applyFill="1" applyBorder="1" applyAlignment="1">
      <alignment horizontal="center" vertical="center"/>
    </xf>
    <xf numFmtId="0" fontId="15" fillId="18" borderId="0" xfId="0" applyFont="1" applyFill="1" applyBorder="1" applyAlignment="1">
      <alignment horizontal="center" vertical="center"/>
    </xf>
    <xf numFmtId="0" fontId="0" fillId="27" borderId="29" xfId="0" applyFont="1" applyFill="1" applyBorder="1" applyAlignment="1">
      <alignment horizontal="center" vertical="center" wrapText="1"/>
    </xf>
    <xf numFmtId="0" fontId="0" fillId="27" borderId="16" xfId="0" applyFont="1" applyFill="1" applyBorder="1" applyAlignment="1">
      <alignment horizontal="center" vertical="center" wrapText="1"/>
    </xf>
    <xf numFmtId="0" fontId="0" fillId="27" borderId="30" xfId="0" applyFont="1" applyFill="1" applyBorder="1" applyAlignment="1">
      <alignment horizontal="center" vertical="center" wrapText="1"/>
    </xf>
    <xf numFmtId="0" fontId="0" fillId="27" borderId="5" xfId="0" applyFont="1" applyFill="1" applyBorder="1" applyAlignment="1">
      <alignment horizontal="center" vertical="center" wrapText="1"/>
    </xf>
    <xf numFmtId="0" fontId="0" fillId="27" borderId="31" xfId="0" applyFont="1" applyFill="1" applyBorder="1" applyAlignment="1">
      <alignment horizontal="center" vertical="center" wrapText="1"/>
    </xf>
    <xf numFmtId="0" fontId="0" fillId="27" borderId="6" xfId="0" applyFont="1" applyFill="1" applyBorder="1" applyAlignment="1">
      <alignment horizontal="center" vertical="center" wrapText="1"/>
    </xf>
    <xf numFmtId="0" fontId="4" fillId="23" borderId="9" xfId="0" applyFont="1" applyFill="1" applyBorder="1" applyAlignment="1">
      <alignment horizontal="center" vertical="center"/>
    </xf>
    <xf numFmtId="0" fontId="4" fillId="23" borderId="21"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24" xfId="0" applyFont="1" applyFill="1" applyBorder="1" applyAlignment="1">
      <alignment horizontal="center" vertical="center"/>
    </xf>
    <xf numFmtId="0" fontId="3" fillId="24" borderId="25" xfId="0" applyFont="1" applyFill="1" applyBorder="1" applyAlignment="1">
      <alignment horizontal="center" vertical="center"/>
    </xf>
    <xf numFmtId="0" fontId="4" fillId="23" borderId="23" xfId="0" applyFont="1" applyFill="1" applyBorder="1" applyAlignment="1">
      <alignment horizontal="center" vertical="center"/>
    </xf>
    <xf numFmtId="0" fontId="4" fillId="23" borderId="24" xfId="0" applyFont="1" applyFill="1" applyBorder="1" applyAlignment="1">
      <alignment horizontal="center" vertical="center"/>
    </xf>
    <xf numFmtId="0" fontId="4" fillId="23" borderId="25"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22" xfId="0" applyFont="1" applyFill="1" applyBorder="1" applyAlignment="1">
      <alignment horizontal="center" vertical="center"/>
    </xf>
    <xf numFmtId="0" fontId="3" fillId="23" borderId="9" xfId="0" applyFont="1" applyFill="1" applyBorder="1" applyAlignment="1">
      <alignment horizontal="center"/>
    </xf>
    <xf numFmtId="0" fontId="3" fillId="23" borderId="10" xfId="0" applyFont="1" applyFill="1" applyBorder="1" applyAlignment="1">
      <alignment horizontal="center"/>
    </xf>
    <xf numFmtId="0" fontId="11" fillId="15" borderId="9"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13" fillId="12" borderId="9" xfId="0" applyFont="1" applyFill="1" applyBorder="1" applyAlignment="1">
      <alignment horizontal="center"/>
    </xf>
    <xf numFmtId="0" fontId="13" fillId="12" borderId="10" xfId="0" applyFont="1" applyFill="1" applyBorder="1" applyAlignment="1">
      <alignment horizontal="center"/>
    </xf>
    <xf numFmtId="0" fontId="11" fillId="21" borderId="9" xfId="0" applyFont="1" applyFill="1" applyBorder="1" applyAlignment="1">
      <alignment horizontal="center" wrapText="1"/>
    </xf>
    <xf numFmtId="0" fontId="11" fillId="21" borderId="10" xfId="0" applyFont="1" applyFill="1" applyBorder="1" applyAlignment="1">
      <alignment horizontal="center" wrapText="1"/>
    </xf>
    <xf numFmtId="0" fontId="18" fillId="0" borderId="0" xfId="0" applyFont="1" applyAlignment="1">
      <alignment horizontal="left" vertical="center" wrapText="1"/>
    </xf>
    <xf numFmtId="0" fontId="4" fillId="23" borderId="26" xfId="0" applyFont="1" applyFill="1" applyBorder="1" applyAlignment="1">
      <alignment horizontal="center"/>
    </xf>
    <xf numFmtId="0" fontId="4" fillId="23" borderId="0" xfId="0" applyFont="1" applyFill="1" applyBorder="1" applyAlignment="1">
      <alignment horizontal="center"/>
    </xf>
    <xf numFmtId="0" fontId="4" fillId="23" borderId="27" xfId="0" applyFont="1" applyFill="1" applyBorder="1" applyAlignment="1">
      <alignment horizontal="center"/>
    </xf>
    <xf numFmtId="0" fontId="13" fillId="20" borderId="13" xfId="0" applyFont="1" applyFill="1" applyBorder="1" applyAlignment="1">
      <alignment horizontal="center"/>
    </xf>
    <xf numFmtId="0" fontId="13" fillId="20" borderId="16" xfId="0" applyFont="1" applyFill="1" applyBorder="1" applyAlignment="1">
      <alignment horizontal="center"/>
    </xf>
    <xf numFmtId="0" fontId="13" fillId="20" borderId="14" xfId="0" applyFont="1" applyFill="1" applyBorder="1" applyAlignment="1">
      <alignment horizontal="center"/>
    </xf>
    <xf numFmtId="0" fontId="14" fillId="15" borderId="13" xfId="0" applyFont="1" applyFill="1" applyBorder="1" applyAlignment="1">
      <alignment horizontal="left" vertical="center" wrapText="1"/>
    </xf>
    <xf numFmtId="0" fontId="14" fillId="15" borderId="16" xfId="0" applyFont="1" applyFill="1" applyBorder="1" applyAlignment="1">
      <alignment horizontal="left" vertical="center" wrapText="1"/>
    </xf>
    <xf numFmtId="0" fontId="14" fillId="15" borderId="14" xfId="0" applyFont="1" applyFill="1" applyBorder="1" applyAlignment="1">
      <alignment horizontal="left" vertical="center" wrapText="1"/>
    </xf>
    <xf numFmtId="0" fontId="14" fillId="15" borderId="20" xfId="0" applyFont="1" applyFill="1" applyBorder="1" applyAlignment="1">
      <alignment horizontal="left" vertical="center" wrapText="1"/>
    </xf>
    <xf numFmtId="0" fontId="14" fillId="15" borderId="22" xfId="0" applyFont="1" applyFill="1" applyBorder="1" applyAlignment="1">
      <alignment horizontal="left" vertical="center" wrapText="1"/>
    </xf>
    <xf numFmtId="0" fontId="14" fillId="15" borderId="15" xfId="0" applyFont="1" applyFill="1" applyBorder="1" applyAlignment="1">
      <alignment horizontal="left" vertical="center" wrapText="1"/>
    </xf>
    <xf numFmtId="0" fontId="4" fillId="19" borderId="32" xfId="0" applyFont="1" applyFill="1" applyBorder="1" applyAlignment="1">
      <alignment horizontal="center" vertical="center" wrapText="1"/>
    </xf>
    <xf numFmtId="0" fontId="4" fillId="19" borderId="33" xfId="0" applyFont="1" applyFill="1" applyBorder="1" applyAlignment="1">
      <alignment horizontal="center" vertical="center" wrapText="1"/>
    </xf>
    <xf numFmtId="0" fontId="4" fillId="28" borderId="32" xfId="0" applyFont="1" applyFill="1" applyBorder="1" applyAlignment="1">
      <alignment horizontal="center" vertical="center" wrapText="1"/>
    </xf>
    <xf numFmtId="0" fontId="4" fillId="28" borderId="33"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0" fillId="0" borderId="8" xfId="0" applyBorder="1" applyAlignment="1">
      <alignment horizontal="center"/>
    </xf>
    <xf numFmtId="0" fontId="16"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0" xfId="0" applyFont="1" applyFill="1" applyBorder="1" applyAlignment="1">
      <alignment horizontal="center"/>
    </xf>
    <xf numFmtId="0" fontId="3" fillId="6" borderId="1" xfId="0" applyFont="1" applyFill="1" applyBorder="1" applyAlignment="1">
      <alignment horizontal="center"/>
    </xf>
    <xf numFmtId="0" fontId="3" fillId="6" borderId="2" xfId="0" applyFont="1" applyFill="1" applyBorder="1" applyAlignment="1">
      <alignment horizontal="center"/>
    </xf>
    <xf numFmtId="0" fontId="5" fillId="5" borderId="0" xfId="0" applyFont="1" applyFill="1" applyAlignment="1">
      <alignment horizontal="center"/>
    </xf>
    <xf numFmtId="0" fontId="3" fillId="6" borderId="0" xfId="0" applyFont="1" applyFill="1" applyAlignment="1">
      <alignment horizontal="center"/>
    </xf>
    <xf numFmtId="0" fontId="5" fillId="3" borderId="0" xfId="0" applyFont="1" applyFill="1" applyAlignment="1">
      <alignment horizont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5" fillId="6" borderId="0" xfId="0" applyFont="1" applyFill="1" applyAlignment="1">
      <alignment horizontal="center"/>
    </xf>
    <xf numFmtId="0" fontId="3" fillId="6" borderId="0" xfId="0" applyFont="1" applyFill="1" applyBorder="1" applyAlignment="1">
      <alignment horizontal="center"/>
    </xf>
  </cellXfs>
  <cellStyles count="2">
    <cellStyle name="Normal" xfId="0" builtinId="0"/>
    <cellStyle name="Percent" xfId="1" builtinId="5"/>
  </cellStyles>
  <dxfs count="5">
    <dxf>
      <fill>
        <gradientFill type="path" left="0.5" right="0.5" top="0.5" bottom="0.5">
          <stop position="0">
            <color theme="6" tint="0.40000610370189521"/>
          </stop>
          <stop position="1">
            <color rgb="FF006600"/>
          </stop>
        </gradientFill>
      </fill>
    </dxf>
    <dxf>
      <fill>
        <gradientFill type="path" left="0.5" right="0.5" top="0.5" bottom="0.5">
          <stop position="0">
            <color theme="5" tint="0.40000610370189521"/>
          </stop>
          <stop position="1">
            <color rgb="FFFF0000"/>
          </stop>
        </gradientFill>
      </fill>
    </dxf>
    <dxf>
      <numFmt numFmtId="30" formatCode="@"/>
      <fill>
        <patternFill>
          <bgColor rgb="FFFF0000"/>
        </patternFill>
      </fill>
    </dxf>
    <dxf>
      <fill>
        <gradientFill type="path" left="0.5" right="0.5" top="0.5" bottom="0.5">
          <stop position="0">
            <color theme="6" tint="0.40000610370189521"/>
          </stop>
          <stop position="1">
            <color rgb="FF006600"/>
          </stop>
        </gradientFill>
      </fill>
    </dxf>
    <dxf>
      <fill>
        <gradientFill type="path" left="0.5" right="0.5" top="0.5" bottom="0.5">
          <stop position="0">
            <color theme="5" tint="0.40000610370189521"/>
          </stop>
          <stop position="1">
            <color rgb="FFFF0000"/>
          </stop>
        </gradientFill>
      </fill>
    </dxf>
  </dxfs>
  <tableStyles count="0" defaultTableStyle="TableStyleMedium2" defaultPivotStyle="PivotStyleLight16"/>
  <colors>
    <mruColors>
      <color rgb="FFFFFF99"/>
      <color rgb="FF789FCE"/>
      <color rgb="FF5183BF"/>
      <color rgb="FFCE7674"/>
      <color rgb="FFFFFF66"/>
      <color rgb="FFFFFFCC"/>
      <color rgb="FFFFCC00"/>
      <color rgb="FFCC0000"/>
      <color rgb="FF990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Phosphorus Export</a:t>
            </a:r>
            <a:r>
              <a:rPr lang="en-US" baseline="0"/>
              <a:t> per Agroecoregion (lbs P/ac/yr)</a:t>
            </a:r>
            <a:endParaRPr lang="en-US"/>
          </a:p>
        </c:rich>
      </c:tx>
      <c:overlay val="0"/>
    </c:title>
    <c:autoTitleDeleted val="0"/>
    <c:plotArea>
      <c:layout>
        <c:manualLayout>
          <c:layoutTarget val="inner"/>
          <c:xMode val="edge"/>
          <c:yMode val="edge"/>
          <c:x val="3.7986991582572023E-2"/>
          <c:y val="7.3717579529002625E-2"/>
          <c:w val="0.82040580636424176"/>
          <c:h val="0.71904454148351138"/>
        </c:manualLayout>
      </c:layout>
      <c:barChart>
        <c:barDir val="col"/>
        <c:grouping val="clustered"/>
        <c:varyColors val="0"/>
        <c:ser>
          <c:idx val="0"/>
          <c:order val="0"/>
          <c:tx>
            <c:v>No Buffer - Poor Mgmt</c:v>
          </c:tx>
          <c:spPr>
            <a:solidFill>
              <a:srgbClr val="C0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RESULTS'!$C$4:$C$33</c:f>
              <c:numCache>
                <c:formatCode>General</c:formatCode>
                <c:ptCount val="30"/>
                <c:pt idx="0">
                  <c:v>0.84299999999999997</c:v>
                </c:pt>
                <c:pt idx="1">
                  <c:v>0.89800000000000002</c:v>
                </c:pt>
                <c:pt idx="2">
                  <c:v>7.141</c:v>
                </c:pt>
                <c:pt idx="3">
                  <c:v>0.98599999999999999</c:v>
                </c:pt>
                <c:pt idx="4">
                  <c:v>1.0009999999999999</c:v>
                </c:pt>
                <c:pt idx="5">
                  <c:v>1.107</c:v>
                </c:pt>
                <c:pt idx="6">
                  <c:v>0.69400000000000006</c:v>
                </c:pt>
                <c:pt idx="7">
                  <c:v>0.89700000000000002</c:v>
                </c:pt>
                <c:pt idx="8">
                  <c:v>0.84499999999999997</c:v>
                </c:pt>
                <c:pt idx="9">
                  <c:v>0.91700000000000004</c:v>
                </c:pt>
                <c:pt idx="10">
                  <c:v>0.38200000000000001</c:v>
                </c:pt>
                <c:pt idx="11">
                  <c:v>0.98299999999999998</c:v>
                </c:pt>
                <c:pt idx="12">
                  <c:v>0.61599999999999999</c:v>
                </c:pt>
                <c:pt idx="13">
                  <c:v>0.623</c:v>
                </c:pt>
                <c:pt idx="14">
                  <c:v>0.751</c:v>
                </c:pt>
                <c:pt idx="15">
                  <c:v>1.841</c:v>
                </c:pt>
                <c:pt idx="16">
                  <c:v>2.5179999999999998</c:v>
                </c:pt>
                <c:pt idx="17">
                  <c:v>0.39500000000000002</c:v>
                </c:pt>
                <c:pt idx="18">
                  <c:v>1.0779999999999998</c:v>
                </c:pt>
                <c:pt idx="19">
                  <c:v>0.8</c:v>
                </c:pt>
                <c:pt idx="20">
                  <c:v>2.1559999999999997</c:v>
                </c:pt>
                <c:pt idx="21">
                  <c:v>2.431</c:v>
                </c:pt>
                <c:pt idx="22">
                  <c:v>3.4850000000000003</c:v>
                </c:pt>
                <c:pt idx="23">
                  <c:v>1.032</c:v>
                </c:pt>
                <c:pt idx="24">
                  <c:v>0.57800000000000007</c:v>
                </c:pt>
                <c:pt idx="25">
                  <c:v>0.73699999999999999</c:v>
                </c:pt>
                <c:pt idx="26">
                  <c:v>1.119</c:v>
                </c:pt>
                <c:pt idx="27">
                  <c:v>0.68499999999999994</c:v>
                </c:pt>
                <c:pt idx="28">
                  <c:v>1.115</c:v>
                </c:pt>
                <c:pt idx="29">
                  <c:v>0.95099999999999996</c:v>
                </c:pt>
              </c:numCache>
            </c:numRef>
          </c:val>
          <c:extLst>
            <c:ext xmlns:c16="http://schemas.microsoft.com/office/drawing/2014/chart" uri="{C3380CC4-5D6E-409C-BE32-E72D297353CC}">
              <c16:uniqueId val="{00000000-394E-4C1C-A826-21C7A73C752D}"/>
            </c:ext>
          </c:extLst>
        </c:ser>
        <c:ser>
          <c:idx val="1"/>
          <c:order val="1"/>
          <c:tx>
            <c:v>No Buffer - Avg Mgmt</c:v>
          </c:tx>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RESULTS'!$E$4:$E$33</c:f>
              <c:numCache>
                <c:formatCode>General</c:formatCode>
                <c:ptCount val="30"/>
                <c:pt idx="0">
                  <c:v>0.45099999999999996</c:v>
                </c:pt>
                <c:pt idx="1">
                  <c:v>0.63100000000000001</c:v>
                </c:pt>
                <c:pt idx="2">
                  <c:v>5.1070000000000002</c:v>
                </c:pt>
                <c:pt idx="3">
                  <c:v>0.58399999999999996</c:v>
                </c:pt>
                <c:pt idx="4">
                  <c:v>0.61599999999999999</c:v>
                </c:pt>
                <c:pt idx="5">
                  <c:v>0.54299999999999993</c:v>
                </c:pt>
                <c:pt idx="6">
                  <c:v>0.39600000000000002</c:v>
                </c:pt>
                <c:pt idx="7">
                  <c:v>0.51400000000000001</c:v>
                </c:pt>
                <c:pt idx="8">
                  <c:v>0.47199999999999998</c:v>
                </c:pt>
                <c:pt idx="9">
                  <c:v>0.54900000000000004</c:v>
                </c:pt>
                <c:pt idx="10">
                  <c:v>0.16999999999999998</c:v>
                </c:pt>
                <c:pt idx="11">
                  <c:v>0.52800000000000002</c:v>
                </c:pt>
                <c:pt idx="12">
                  <c:v>0.29700000000000004</c:v>
                </c:pt>
                <c:pt idx="13">
                  <c:v>0.437</c:v>
                </c:pt>
                <c:pt idx="14">
                  <c:v>0.33199999999999996</c:v>
                </c:pt>
                <c:pt idx="15">
                  <c:v>1.1519999999999999</c:v>
                </c:pt>
                <c:pt idx="16">
                  <c:v>1.7</c:v>
                </c:pt>
                <c:pt idx="17">
                  <c:v>0.13400000000000001</c:v>
                </c:pt>
                <c:pt idx="18">
                  <c:v>0.65900000000000003</c:v>
                </c:pt>
                <c:pt idx="19">
                  <c:v>0.434</c:v>
                </c:pt>
                <c:pt idx="20">
                  <c:v>1.3439999999999999</c:v>
                </c:pt>
                <c:pt idx="21">
                  <c:v>1.659</c:v>
                </c:pt>
                <c:pt idx="22">
                  <c:v>2.3780000000000001</c:v>
                </c:pt>
                <c:pt idx="23">
                  <c:v>0.57800000000000007</c:v>
                </c:pt>
                <c:pt idx="24">
                  <c:v>0.312</c:v>
                </c:pt>
                <c:pt idx="25">
                  <c:v>0.23599999999999999</c:v>
                </c:pt>
                <c:pt idx="26">
                  <c:v>0.63200000000000001</c:v>
                </c:pt>
                <c:pt idx="27">
                  <c:v>0.23900000000000002</c:v>
                </c:pt>
                <c:pt idx="28">
                  <c:v>0.65800000000000003</c:v>
                </c:pt>
                <c:pt idx="29">
                  <c:v>0.51800000000000002</c:v>
                </c:pt>
              </c:numCache>
            </c:numRef>
          </c:val>
          <c:extLst>
            <c:ext xmlns:c16="http://schemas.microsoft.com/office/drawing/2014/chart" uri="{C3380CC4-5D6E-409C-BE32-E72D297353CC}">
              <c16:uniqueId val="{00000001-394E-4C1C-A826-21C7A73C752D}"/>
            </c:ext>
          </c:extLst>
        </c:ser>
        <c:ser>
          <c:idx val="2"/>
          <c:order val="2"/>
          <c:tx>
            <c:v>No Buffer - Best Mgmt</c:v>
          </c:tx>
          <c:spPr>
            <a:solidFill>
              <a:schemeClr val="accent2">
                <a:lumMod val="20000"/>
                <a:lumOff val="8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RESULTS'!$G$4:$G$33</c:f>
              <c:numCache>
                <c:formatCode>General</c:formatCode>
                <c:ptCount val="30"/>
                <c:pt idx="0">
                  <c:v>0.43899999999999995</c:v>
                </c:pt>
                <c:pt idx="1">
                  <c:v>0.65700000000000003</c:v>
                </c:pt>
                <c:pt idx="2">
                  <c:v>5.0540000000000003</c:v>
                </c:pt>
                <c:pt idx="3">
                  <c:v>0.57699999999999996</c:v>
                </c:pt>
                <c:pt idx="4">
                  <c:v>0.6</c:v>
                </c:pt>
                <c:pt idx="5">
                  <c:v>0.48299999999999998</c:v>
                </c:pt>
                <c:pt idx="6">
                  <c:v>0.38500000000000001</c:v>
                </c:pt>
                <c:pt idx="7">
                  <c:v>0.503</c:v>
                </c:pt>
                <c:pt idx="8">
                  <c:v>0.47699999999999998</c:v>
                </c:pt>
                <c:pt idx="9">
                  <c:v>0.53800000000000003</c:v>
                </c:pt>
                <c:pt idx="10">
                  <c:v>0.185</c:v>
                </c:pt>
                <c:pt idx="11">
                  <c:v>0.496</c:v>
                </c:pt>
                <c:pt idx="12">
                  <c:v>0.30399999999999999</c:v>
                </c:pt>
                <c:pt idx="13">
                  <c:v>0.45</c:v>
                </c:pt>
                <c:pt idx="14">
                  <c:v>0.309</c:v>
                </c:pt>
                <c:pt idx="15">
                  <c:v>1.1179999999999999</c:v>
                </c:pt>
                <c:pt idx="16">
                  <c:v>1.69</c:v>
                </c:pt>
                <c:pt idx="17">
                  <c:v>0.126</c:v>
                </c:pt>
                <c:pt idx="18">
                  <c:v>0.65700000000000003</c:v>
                </c:pt>
                <c:pt idx="19">
                  <c:v>0.41</c:v>
                </c:pt>
                <c:pt idx="20">
                  <c:v>1.2689999999999999</c:v>
                </c:pt>
                <c:pt idx="21">
                  <c:v>1.6440000000000001</c:v>
                </c:pt>
                <c:pt idx="22">
                  <c:v>2.3289999999999997</c:v>
                </c:pt>
                <c:pt idx="23">
                  <c:v>0.55899999999999994</c:v>
                </c:pt>
                <c:pt idx="24">
                  <c:v>0.3</c:v>
                </c:pt>
                <c:pt idx="25">
                  <c:v>0.19500000000000001</c:v>
                </c:pt>
                <c:pt idx="26">
                  <c:v>0.60199999999999998</c:v>
                </c:pt>
                <c:pt idx="27">
                  <c:v>0.20400000000000001</c:v>
                </c:pt>
                <c:pt idx="28">
                  <c:v>0.63200000000000001</c:v>
                </c:pt>
                <c:pt idx="29">
                  <c:v>0.496</c:v>
                </c:pt>
              </c:numCache>
            </c:numRef>
          </c:val>
          <c:extLst>
            <c:ext xmlns:c16="http://schemas.microsoft.com/office/drawing/2014/chart" uri="{C3380CC4-5D6E-409C-BE32-E72D297353CC}">
              <c16:uniqueId val="{00000002-394E-4C1C-A826-21C7A73C752D}"/>
            </c:ext>
          </c:extLst>
        </c:ser>
        <c:ser>
          <c:idx val="3"/>
          <c:order val="3"/>
          <c:tx>
            <c:v>16.5' Buffer - Poor Mgmt</c:v>
          </c:tx>
          <c:spPr>
            <a:solidFill>
              <a:schemeClr val="accent3">
                <a:lumMod val="5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RESULTS'!$I$4:$I$33</c:f>
              <c:numCache>
                <c:formatCode>0.00</c:formatCode>
                <c:ptCount val="30"/>
                <c:pt idx="0">
                  <c:v>0.66048792074666185</c:v>
                </c:pt>
                <c:pt idx="1">
                  <c:v>0.52586939009181966</c:v>
                </c:pt>
                <c:pt idx="2">
                  <c:v>7.0420162973467528</c:v>
                </c:pt>
                <c:pt idx="3">
                  <c:v>0.77252798322207428</c:v>
                </c:pt>
                <c:pt idx="4">
                  <c:v>0.93125532688519341</c:v>
                </c:pt>
                <c:pt idx="5">
                  <c:v>0.2552568977068333</c:v>
                </c:pt>
                <c:pt idx="6">
                  <c:v>0.61608596219789258</c:v>
                </c:pt>
                <c:pt idx="7">
                  <c:v>0.79629554480044618</c:v>
                </c:pt>
                <c:pt idx="8">
                  <c:v>0.78612462659139715</c:v>
                </c:pt>
                <c:pt idx="9">
                  <c:v>0.85310802672699548</c:v>
                </c:pt>
                <c:pt idx="10">
                  <c:v>8.8083229380316458E-2</c:v>
                </c:pt>
                <c:pt idx="11">
                  <c:v>0.87264049112468056</c:v>
                </c:pt>
                <c:pt idx="12">
                  <c:v>0.48263411527869954</c:v>
                </c:pt>
                <c:pt idx="13">
                  <c:v>0.48811859386141204</c:v>
                </c:pt>
                <c:pt idx="14">
                  <c:v>0.58840620223101192</c:v>
                </c:pt>
                <c:pt idx="15">
                  <c:v>1.8154813056176125</c:v>
                </c:pt>
                <c:pt idx="16">
                  <c:v>2.2353090098188662</c:v>
                </c:pt>
                <c:pt idx="17">
                  <c:v>0</c:v>
                </c:pt>
                <c:pt idx="18">
                  <c:v>1.0028903520302084</c:v>
                </c:pt>
                <c:pt idx="19">
                  <c:v>0.78891094214779478</c:v>
                </c:pt>
                <c:pt idx="20">
                  <c:v>2.1261149890883067</c:v>
                </c:pt>
                <c:pt idx="21">
                  <c:v>2.2616200795783272</c:v>
                </c:pt>
                <c:pt idx="22">
                  <c:v>3.4366932917313311</c:v>
                </c:pt>
                <c:pt idx="23">
                  <c:v>0.60433987814561019</c:v>
                </c:pt>
                <c:pt idx="24">
                  <c:v>0.33847717981411113</c:v>
                </c:pt>
                <c:pt idx="25">
                  <c:v>0.57743724506558691</c:v>
                </c:pt>
                <c:pt idx="26">
                  <c:v>0.87673307629361175</c:v>
                </c:pt>
                <c:pt idx="27">
                  <c:v>0.40113645012571986</c:v>
                </c:pt>
                <c:pt idx="28">
                  <c:v>0.98982110641304055</c:v>
                </c:pt>
                <c:pt idx="29">
                  <c:v>0.74510559030851176</c:v>
                </c:pt>
              </c:numCache>
            </c:numRef>
          </c:val>
          <c:extLst>
            <c:ext xmlns:c16="http://schemas.microsoft.com/office/drawing/2014/chart" uri="{C3380CC4-5D6E-409C-BE32-E72D297353CC}">
              <c16:uniqueId val="{00000003-394E-4C1C-A826-21C7A73C752D}"/>
            </c:ext>
          </c:extLst>
        </c:ser>
        <c:ser>
          <c:idx val="4"/>
          <c:order val="4"/>
          <c:tx>
            <c:v>16.5' Buffer - Avg Mgmt</c:v>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RESULTS'!$K$4:$K$33</c:f>
              <c:numCache>
                <c:formatCode>0.00</c:formatCode>
                <c:ptCount val="30"/>
                <c:pt idx="0">
                  <c:v>0.35335712011476217</c:v>
                </c:pt>
                <c:pt idx="1">
                  <c:v>0.36951401464135658</c:v>
                </c:pt>
                <c:pt idx="2">
                  <c:v>5.0362102269359843</c:v>
                </c:pt>
                <c:pt idx="3">
                  <c:v>0.45756221318629953</c:v>
                </c:pt>
                <c:pt idx="4">
                  <c:v>0.57308020116011915</c:v>
                </c:pt>
                <c:pt idx="5">
                  <c:v>0.12520731296730844</c:v>
                </c:pt>
                <c:pt idx="6">
                  <c:v>0.35154184586507992</c:v>
                </c:pt>
                <c:pt idx="7">
                  <c:v>0.45629421407740167</c:v>
                </c:pt>
                <c:pt idx="8">
                  <c:v>0.43911340088892242</c:v>
                </c:pt>
                <c:pt idx="9">
                  <c:v>0.51074842603393733</c:v>
                </c:pt>
                <c:pt idx="10">
                  <c:v>3.9199342917941873E-2</c:v>
                </c:pt>
                <c:pt idx="11">
                  <c:v>0.46872246115343985</c:v>
                </c:pt>
                <c:pt idx="12">
                  <c:v>0.23269859129508733</c:v>
                </c:pt>
                <c:pt idx="13">
                  <c:v>0.34238816294933716</c:v>
                </c:pt>
                <c:pt idx="14">
                  <c:v>0.26012098420864971</c:v>
                </c:pt>
                <c:pt idx="15">
                  <c:v>1.1360317566928244</c:v>
                </c:pt>
                <c:pt idx="16">
                  <c:v>1.5091442878046359</c:v>
                </c:pt>
                <c:pt idx="17">
                  <c:v>0</c:v>
                </c:pt>
                <c:pt idx="18">
                  <c:v>0.61308417624110145</c:v>
                </c:pt>
                <c:pt idx="19">
                  <c:v>0.42798418611517863</c:v>
                </c:pt>
                <c:pt idx="20">
                  <c:v>1.325370382808295</c:v>
                </c:pt>
                <c:pt idx="21">
                  <c:v>1.5434091781244117</c:v>
                </c:pt>
                <c:pt idx="22">
                  <c:v>2.3450377755343199</c:v>
                </c:pt>
                <c:pt idx="23">
                  <c:v>0.33847717981411113</c:v>
                </c:pt>
                <c:pt idx="24">
                  <c:v>0.18270740502076585</c:v>
                </c:pt>
                <c:pt idx="25">
                  <c:v>0.18490527793144981</c:v>
                </c:pt>
                <c:pt idx="26">
                  <c:v>0.49517006632489957</c:v>
                </c:pt>
                <c:pt idx="27">
                  <c:v>0.13995855705116358</c:v>
                </c:pt>
                <c:pt idx="28">
                  <c:v>0.58412761257379442</c:v>
                </c:pt>
                <c:pt idx="29">
                  <c:v>0.40585141512072465</c:v>
                </c:pt>
              </c:numCache>
            </c:numRef>
          </c:val>
          <c:extLst>
            <c:ext xmlns:c16="http://schemas.microsoft.com/office/drawing/2014/chart" uri="{C3380CC4-5D6E-409C-BE32-E72D297353CC}">
              <c16:uniqueId val="{00000004-394E-4C1C-A826-21C7A73C752D}"/>
            </c:ext>
          </c:extLst>
        </c:ser>
        <c:ser>
          <c:idx val="5"/>
          <c:order val="5"/>
          <c:tx>
            <c:v>16.5' Buffer - Best Mgmt</c:v>
          </c:tx>
          <c:spPr>
            <a:solidFill>
              <a:schemeClr val="accent3">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RESULTS'!$M$4:$M$33</c:f>
              <c:numCache>
                <c:formatCode>0.00</c:formatCode>
                <c:ptCount val="30"/>
                <c:pt idx="0">
                  <c:v>0.34395515683011213</c:v>
                </c:pt>
                <c:pt idx="1">
                  <c:v>0.38473963172642039</c:v>
                </c:pt>
                <c:pt idx="2">
                  <c:v>4.9839448770186934</c:v>
                </c:pt>
                <c:pt idx="3">
                  <c:v>0.45207773460358708</c:v>
                </c:pt>
                <c:pt idx="4">
                  <c:v>0.5581950011299861</c:v>
                </c:pt>
                <c:pt idx="5">
                  <c:v>0.11137225076097604</c:v>
                </c:pt>
                <c:pt idx="6">
                  <c:v>0.34177679459104987</c:v>
                </c:pt>
                <c:pt idx="7">
                  <c:v>0.44652916280337168</c:v>
                </c:pt>
                <c:pt idx="8">
                  <c:v>0.44376502589833899</c:v>
                </c:pt>
                <c:pt idx="9">
                  <c:v>0.50051485101322091</c:v>
                </c:pt>
                <c:pt idx="10">
                  <c:v>4.2658108469524982E-2</c:v>
                </c:pt>
                <c:pt idx="11">
                  <c:v>0.44031503926535259</c:v>
                </c:pt>
                <c:pt idx="12">
                  <c:v>0.23818306987779977</c:v>
                </c:pt>
                <c:pt idx="13">
                  <c:v>0.35257362317437468</c:v>
                </c:pt>
                <c:pt idx="14">
                  <c:v>0.24210055457973728</c:v>
                </c:pt>
                <c:pt idx="15">
                  <c:v>1.1025030416515429</c:v>
                </c:pt>
                <c:pt idx="16">
                  <c:v>1.5002669684646086</c:v>
                </c:pt>
                <c:pt idx="17">
                  <c:v>0</c:v>
                </c:pt>
                <c:pt idx="18">
                  <c:v>0.61122352623733489</c:v>
                </c:pt>
                <c:pt idx="19">
                  <c:v>0.40431685785074478</c:v>
                </c:pt>
                <c:pt idx="20">
                  <c:v>1.2514099819819393</c:v>
                </c:pt>
                <c:pt idx="21">
                  <c:v>1.5294543030961623</c:v>
                </c:pt>
                <c:pt idx="22">
                  <c:v>2.2967169803277669</c:v>
                </c:pt>
                <c:pt idx="23">
                  <c:v>0.32735076732887214</c:v>
                </c:pt>
                <c:pt idx="24">
                  <c:v>0.17568019713535177</c:v>
                </c:pt>
                <c:pt idx="25">
                  <c:v>0.15278190337556236</c:v>
                </c:pt>
                <c:pt idx="26">
                  <c:v>0.47166515811327453</c:v>
                </c:pt>
                <c:pt idx="27">
                  <c:v>0.11946253405203922</c:v>
                </c:pt>
                <c:pt idx="28">
                  <c:v>0.56104658228972348</c:v>
                </c:pt>
                <c:pt idx="29">
                  <c:v>0.38861448243219965</c:v>
                </c:pt>
              </c:numCache>
            </c:numRef>
          </c:val>
          <c:extLst>
            <c:ext xmlns:c16="http://schemas.microsoft.com/office/drawing/2014/chart" uri="{C3380CC4-5D6E-409C-BE32-E72D297353CC}">
              <c16:uniqueId val="{00000005-394E-4C1C-A826-21C7A73C752D}"/>
            </c:ext>
          </c:extLst>
        </c:ser>
        <c:ser>
          <c:idx val="6"/>
          <c:order val="6"/>
          <c:tx>
            <c:v>50' Buffer - Poor Mgmt</c:v>
          </c:tx>
          <c:spPr>
            <a:solidFill>
              <a:srgbClr val="0000CC"/>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RESULTS'!$Q$4:$Q$33</c:f>
              <c:numCache>
                <c:formatCode>0.00</c:formatCode>
                <c:ptCount val="30"/>
                <c:pt idx="0">
                  <c:v>0.40734684198422988</c:v>
                </c:pt>
                <c:pt idx="1">
                  <c:v>0.18679833164190157</c:v>
                </c:pt>
                <c:pt idx="2">
                  <c:v>6.8591197745306083</c:v>
                </c:pt>
                <c:pt idx="3">
                  <c:v>0.47644600972295453</c:v>
                </c:pt>
                <c:pt idx="4">
                  <c:v>0.82335056097493731</c:v>
                </c:pt>
                <c:pt idx="5">
                  <c:v>4.2228517544311693E-2</c:v>
                </c:pt>
                <c:pt idx="6">
                  <c:v>0.4850976349210287</c:v>
                </c:pt>
                <c:pt idx="7">
                  <c:v>0.62699218807516244</c:v>
                </c:pt>
                <c:pt idx="8">
                  <c:v>0.69503618783598609</c:v>
                </c:pt>
                <c:pt idx="9">
                  <c:v>0.75425820620780981</c:v>
                </c:pt>
                <c:pt idx="10">
                  <c:v>1.4572081031551101E-2</c:v>
                </c:pt>
                <c:pt idx="11">
                  <c:v>0.68710515148036189</c:v>
                </c:pt>
                <c:pt idx="12">
                  <c:v>0.29765795333604461</c:v>
                </c:pt>
                <c:pt idx="13">
                  <c:v>0.30104043007849968</c:v>
                </c:pt>
                <c:pt idx="14">
                  <c:v>0.36289143336910634</c:v>
                </c:pt>
                <c:pt idx="15">
                  <c:v>1.7683292963045583</c:v>
                </c:pt>
                <c:pt idx="16">
                  <c:v>1.7600516494685159</c:v>
                </c:pt>
                <c:pt idx="17">
                  <c:v>0</c:v>
                </c:pt>
                <c:pt idx="18">
                  <c:v>0.88668521951147095</c:v>
                </c:pt>
                <c:pt idx="19">
                  <c:v>0.76842120426053595</c:v>
                </c:pt>
                <c:pt idx="20">
                  <c:v>2.0708951454821438</c:v>
                </c:pt>
                <c:pt idx="21">
                  <c:v>1.9995656480819908</c:v>
                </c:pt>
                <c:pt idx="22">
                  <c:v>3.34743487105996</c:v>
                </c:pt>
                <c:pt idx="23">
                  <c:v>0.2146724702165283</c:v>
                </c:pt>
                <c:pt idx="24">
                  <c:v>0.12023322459801683</c:v>
                </c:pt>
                <c:pt idx="25">
                  <c:v>0.35612647988419627</c:v>
                </c:pt>
                <c:pt idx="26">
                  <c:v>0.5407130678296006</c:v>
                </c:pt>
                <c:pt idx="27">
                  <c:v>0.14249093226581577</c:v>
                </c:pt>
                <c:pt idx="28">
                  <c:v>0.77937156042787747</c:v>
                </c:pt>
                <c:pt idx="29">
                  <c:v>0.45953362601067926</c:v>
                </c:pt>
              </c:numCache>
            </c:numRef>
          </c:val>
          <c:extLst>
            <c:ext xmlns:c16="http://schemas.microsoft.com/office/drawing/2014/chart" uri="{C3380CC4-5D6E-409C-BE32-E72D297353CC}">
              <c16:uniqueId val="{00000006-394E-4C1C-A826-21C7A73C752D}"/>
            </c:ext>
          </c:extLst>
        </c:ser>
        <c:ser>
          <c:idx val="7"/>
          <c:order val="7"/>
          <c:tx>
            <c:v>50' Buffer - Avg Mgmt</c:v>
          </c:tx>
          <c:spPr>
            <a:solidFill>
              <a:schemeClr val="tx2">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RESULTS'!$S$4:$S$33</c:f>
              <c:numCache>
                <c:formatCode>0.00</c:formatCode>
                <c:ptCount val="30"/>
                <c:pt idx="0">
                  <c:v>0.21792814440674693</c:v>
                </c:pt>
                <c:pt idx="1">
                  <c:v>0.13125807045216023</c:v>
                </c:pt>
                <c:pt idx="2">
                  <c:v>4.905408862698196</c:v>
                </c:pt>
                <c:pt idx="3">
                  <c:v>0.28219520251339297</c:v>
                </c:pt>
                <c:pt idx="4">
                  <c:v>0.50667726829226911</c:v>
                </c:pt>
                <c:pt idx="5">
                  <c:v>2.0713717277833107E-2</c:v>
                </c:pt>
                <c:pt idx="6">
                  <c:v>0.2767992268425466</c:v>
                </c:pt>
                <c:pt idx="7">
                  <c:v>0.35927980453805292</c:v>
                </c:pt>
                <c:pt idx="8">
                  <c:v>0.38823323154862183</c:v>
                </c:pt>
                <c:pt idx="9">
                  <c:v>0.45156789008515552</c:v>
                </c:pt>
                <c:pt idx="10">
                  <c:v>6.48495752713007E-3</c:v>
                </c:pt>
                <c:pt idx="11">
                  <c:v>0.36906563579006219</c:v>
                </c:pt>
                <c:pt idx="12">
                  <c:v>0.14351365607273583</c:v>
                </c:pt>
                <c:pt idx="13">
                  <c:v>0.21116319092183686</c:v>
                </c:pt>
                <c:pt idx="14">
                  <c:v>0.16042603978501105</c:v>
                </c:pt>
                <c:pt idx="15">
                  <c:v>1.1065265341351715</c:v>
                </c:pt>
                <c:pt idx="16">
                  <c:v>1.1882795091725487</c:v>
                </c:pt>
                <c:pt idx="17">
                  <c:v>0</c:v>
                </c:pt>
                <c:pt idx="18">
                  <c:v>0.54204597370877494</c:v>
                </c:pt>
                <c:pt idx="19">
                  <c:v>0.41686850331134073</c:v>
                </c:pt>
                <c:pt idx="20">
                  <c:v>1.2909476231577002</c:v>
                </c:pt>
                <c:pt idx="21">
                  <c:v>1.3645740066507703</c:v>
                </c:pt>
                <c:pt idx="22">
                  <c:v>2.284132029664443</c:v>
                </c:pt>
                <c:pt idx="23">
                  <c:v>0.12023322459801683</c:v>
                </c:pt>
                <c:pt idx="24">
                  <c:v>6.4900979367787631E-2</c:v>
                </c:pt>
                <c:pt idx="25">
                  <c:v>0.11403778731705605</c:v>
                </c:pt>
                <c:pt idx="26">
                  <c:v>0.30538932874737046</c:v>
                </c:pt>
                <c:pt idx="27">
                  <c:v>4.9715814323401421E-2</c:v>
                </c:pt>
                <c:pt idx="28">
                  <c:v>0.45993406884443355</c:v>
                </c:pt>
                <c:pt idx="29">
                  <c:v>0.25030327894167392</c:v>
                </c:pt>
              </c:numCache>
            </c:numRef>
          </c:val>
          <c:extLst>
            <c:ext xmlns:c16="http://schemas.microsoft.com/office/drawing/2014/chart" uri="{C3380CC4-5D6E-409C-BE32-E72D297353CC}">
              <c16:uniqueId val="{00000007-394E-4C1C-A826-21C7A73C752D}"/>
            </c:ext>
          </c:extLst>
        </c:ser>
        <c:ser>
          <c:idx val="8"/>
          <c:order val="8"/>
          <c:tx>
            <c:v>50' Buffer - Best Mgmt</c:v>
          </c:tx>
          <c:spPr>
            <a:solidFill>
              <a:schemeClr val="tx2">
                <a:lumMod val="20000"/>
                <a:lumOff val="8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RESULTS'!$U$4:$U$33</c:f>
              <c:numCache>
                <c:formatCode>0.00</c:formatCode>
                <c:ptCount val="30"/>
                <c:pt idx="0">
                  <c:v>0.21212961284825257</c:v>
                </c:pt>
                <c:pt idx="1">
                  <c:v>0.13666648539947587</c:v>
                </c:pt>
                <c:pt idx="2">
                  <c:v>4.8545009579159357</c:v>
                </c:pt>
                <c:pt idx="3">
                  <c:v>0.27881272577093791</c:v>
                </c:pt>
                <c:pt idx="4">
                  <c:v>0.49351681976519723</c:v>
                </c:pt>
                <c:pt idx="5">
                  <c:v>1.8424908738846023E-2</c:v>
                </c:pt>
                <c:pt idx="6">
                  <c:v>0.26911035943025363</c:v>
                </c:pt>
                <c:pt idx="7">
                  <c:v>0.35159093712575995</c:v>
                </c:pt>
                <c:pt idx="8">
                  <c:v>0.3923458717133318</c:v>
                </c:pt>
                <c:pt idx="9">
                  <c:v>0.44252008172279356</c:v>
                </c:pt>
                <c:pt idx="10">
                  <c:v>7.0571596618768419E-3</c:v>
                </c:pt>
                <c:pt idx="11">
                  <c:v>0.34669802149975537</c:v>
                </c:pt>
                <c:pt idx="12">
                  <c:v>0.14689613281519084</c:v>
                </c:pt>
                <c:pt idx="13">
                  <c:v>0.2174449334435391</c:v>
                </c:pt>
                <c:pt idx="14">
                  <c:v>0.14931218763123019</c:v>
                </c:pt>
                <c:pt idx="15">
                  <c:v>1.0738686329540987</c:v>
                </c:pt>
                <c:pt idx="16">
                  <c:v>1.1812896297068276</c:v>
                </c:pt>
                <c:pt idx="17">
                  <c:v>0</c:v>
                </c:pt>
                <c:pt idx="18">
                  <c:v>0.540400917642891</c:v>
                </c:pt>
                <c:pt idx="19">
                  <c:v>0.39381586718352463</c:v>
                </c:pt>
                <c:pt idx="20">
                  <c:v>1.2189081352582749</c:v>
                </c:pt>
                <c:pt idx="21">
                  <c:v>1.3522360861566405</c:v>
                </c:pt>
                <c:pt idx="22">
                  <c:v>2.2370662309034848</c:v>
                </c:pt>
                <c:pt idx="23">
                  <c:v>0.11628092136728616</c:v>
                </c:pt>
                <c:pt idx="24">
                  <c:v>6.2404787853641945E-2</c:v>
                </c:pt>
                <c:pt idx="25">
                  <c:v>9.4226137825533615E-2</c:v>
                </c:pt>
                <c:pt idx="26">
                  <c:v>0.29089299985113454</c:v>
                </c:pt>
                <c:pt idx="27">
                  <c:v>4.2435255740476525E-2</c:v>
                </c:pt>
                <c:pt idx="28">
                  <c:v>0.44176038223355923</c:v>
                </c:pt>
                <c:pt idx="29">
                  <c:v>0.23967263775110087</c:v>
                </c:pt>
              </c:numCache>
            </c:numRef>
          </c:val>
          <c:extLst>
            <c:ext xmlns:c16="http://schemas.microsoft.com/office/drawing/2014/chart" uri="{C3380CC4-5D6E-409C-BE32-E72D297353CC}">
              <c16:uniqueId val="{00000008-394E-4C1C-A826-21C7A73C752D}"/>
            </c:ext>
          </c:extLst>
        </c:ser>
        <c:dLbls>
          <c:showLegendKey val="0"/>
          <c:showVal val="0"/>
          <c:showCatName val="0"/>
          <c:showSerName val="0"/>
          <c:showPercent val="0"/>
          <c:showBubbleSize val="0"/>
        </c:dLbls>
        <c:gapWidth val="150"/>
        <c:axId val="853757952"/>
        <c:axId val="849096064"/>
      </c:barChart>
      <c:catAx>
        <c:axId val="853757952"/>
        <c:scaling>
          <c:orientation val="minMax"/>
        </c:scaling>
        <c:delete val="0"/>
        <c:axPos val="b"/>
        <c:numFmt formatCode="General" sourceLinked="0"/>
        <c:majorTickMark val="out"/>
        <c:minorTickMark val="none"/>
        <c:tickLblPos val="nextTo"/>
        <c:crossAx val="849096064"/>
        <c:crosses val="autoZero"/>
        <c:auto val="1"/>
        <c:lblAlgn val="ctr"/>
        <c:lblOffset val="100"/>
        <c:noMultiLvlLbl val="0"/>
      </c:catAx>
      <c:valAx>
        <c:axId val="849096064"/>
        <c:scaling>
          <c:orientation val="minMax"/>
        </c:scaling>
        <c:delete val="0"/>
        <c:axPos val="l"/>
        <c:majorGridlines/>
        <c:numFmt formatCode="General" sourceLinked="1"/>
        <c:majorTickMark val="out"/>
        <c:minorTickMark val="none"/>
        <c:tickLblPos val="nextTo"/>
        <c:crossAx val="853757952"/>
        <c:crosses val="autoZero"/>
        <c:crossBetween val="between"/>
      </c:valAx>
    </c:plotArea>
    <c:legend>
      <c:legendPos val="r"/>
      <c:layout>
        <c:manualLayout>
          <c:xMode val="edge"/>
          <c:yMode val="edge"/>
          <c:x val="0.86328086532758541"/>
          <c:y val="0.21988913083513295"/>
          <c:w val="0.13252936263175308"/>
          <c:h val="0.48834811565873487"/>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Phosphorus Export</a:t>
            </a:r>
            <a:r>
              <a:rPr lang="en-US" baseline="0"/>
              <a:t> Reductions of a 16.5' Buffer (lbs P/ac/yr)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Mgmt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RESULTS'!$Y$4:$Y$33</c:f>
              <c:numCache>
                <c:formatCode>0.00</c:formatCode>
                <c:ptCount val="30"/>
                <c:pt idx="0">
                  <c:v>0.18251207925333812</c:v>
                </c:pt>
                <c:pt idx="1">
                  <c:v>0.37213060990818037</c:v>
                </c:pt>
                <c:pt idx="2">
                  <c:v>9.8983702653247185E-2</c:v>
                </c:pt>
                <c:pt idx="3">
                  <c:v>0.21347201677792571</c:v>
                </c:pt>
                <c:pt idx="4">
                  <c:v>6.9744673114806477E-2</c:v>
                </c:pt>
                <c:pt idx="5">
                  <c:v>0.85174310229316674</c:v>
                </c:pt>
                <c:pt idx="6">
                  <c:v>7.7914037802107483E-2</c:v>
                </c:pt>
                <c:pt idx="7">
                  <c:v>0.10070445519955384</c:v>
                </c:pt>
                <c:pt idx="8">
                  <c:v>5.8875373408602827E-2</c:v>
                </c:pt>
                <c:pt idx="9">
                  <c:v>6.3891973273004554E-2</c:v>
                </c:pt>
                <c:pt idx="10">
                  <c:v>0.29391677061968358</c:v>
                </c:pt>
                <c:pt idx="11">
                  <c:v>0.11035950887531942</c:v>
                </c:pt>
                <c:pt idx="12">
                  <c:v>0.13336588472130045</c:v>
                </c:pt>
                <c:pt idx="13">
                  <c:v>0.13488140613858796</c:v>
                </c:pt>
                <c:pt idx="14">
                  <c:v>0.16259379776898808</c:v>
                </c:pt>
                <c:pt idx="15">
                  <c:v>2.5518694382387519E-2</c:v>
                </c:pt>
                <c:pt idx="16">
                  <c:v>0.28269099018113364</c:v>
                </c:pt>
                <c:pt idx="17">
                  <c:v>0.39500000000000002</c:v>
                </c:pt>
                <c:pt idx="18">
                  <c:v>7.5109647969791471E-2</c:v>
                </c:pt>
                <c:pt idx="19">
                  <c:v>1.1089057852205264E-2</c:v>
                </c:pt>
                <c:pt idx="20">
                  <c:v>2.9885010911693044E-2</c:v>
                </c:pt>
                <c:pt idx="21">
                  <c:v>0.16937992042167282</c:v>
                </c:pt>
                <c:pt idx="22">
                  <c:v>4.830670826866923E-2</c:v>
                </c:pt>
                <c:pt idx="23">
                  <c:v>0.42766012185438984</c:v>
                </c:pt>
                <c:pt idx="24">
                  <c:v>0.23952282018588894</c:v>
                </c:pt>
                <c:pt idx="25">
                  <c:v>0.15956275493441308</c:v>
                </c:pt>
                <c:pt idx="26">
                  <c:v>0.24226692370638825</c:v>
                </c:pt>
                <c:pt idx="27">
                  <c:v>0.28386354987428009</c:v>
                </c:pt>
                <c:pt idx="28">
                  <c:v>0.12517889358695944</c:v>
                </c:pt>
                <c:pt idx="29">
                  <c:v>0.2058944096914882</c:v>
                </c:pt>
              </c:numCache>
            </c:numRef>
          </c:val>
          <c:extLst>
            <c:ext xmlns:c16="http://schemas.microsoft.com/office/drawing/2014/chart" uri="{C3380CC4-5D6E-409C-BE32-E72D297353CC}">
              <c16:uniqueId val="{00000000-2B1A-4C0C-9822-38C649B5BD43}"/>
            </c:ext>
          </c:extLst>
        </c:ser>
        <c:ser>
          <c:idx val="1"/>
          <c:order val="1"/>
          <c:tx>
            <c:v>Avg Mgmt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RESULTS'!$AA$4:$AA$33</c:f>
              <c:numCache>
                <c:formatCode>0.00</c:formatCode>
                <c:ptCount val="30"/>
                <c:pt idx="0">
                  <c:v>9.7642879885237788E-2</c:v>
                </c:pt>
                <c:pt idx="1">
                  <c:v>0.26148598535864342</c:v>
                </c:pt>
                <c:pt idx="2">
                  <c:v>7.0789773064015904E-2</c:v>
                </c:pt>
                <c:pt idx="3">
                  <c:v>0.12643778681370044</c:v>
                </c:pt>
                <c:pt idx="4">
                  <c:v>4.2919798839880841E-2</c:v>
                </c:pt>
                <c:pt idx="5">
                  <c:v>0.41779268703269146</c:v>
                </c:pt>
                <c:pt idx="6">
                  <c:v>4.4458154134920103E-2</c:v>
                </c:pt>
                <c:pt idx="7">
                  <c:v>5.770578592259834E-2</c:v>
                </c:pt>
                <c:pt idx="8">
                  <c:v>3.2886599111077552E-2</c:v>
                </c:pt>
                <c:pt idx="9">
                  <c:v>3.8251573966062713E-2</c:v>
                </c:pt>
                <c:pt idx="10">
                  <c:v>0.13080065708205812</c:v>
                </c:pt>
                <c:pt idx="11">
                  <c:v>5.9277538846560174E-2</c:v>
                </c:pt>
                <c:pt idx="12">
                  <c:v>6.4301408704912716E-2</c:v>
                </c:pt>
                <c:pt idx="13">
                  <c:v>9.4611837050662839E-2</c:v>
                </c:pt>
                <c:pt idx="14">
                  <c:v>7.1879015791350254E-2</c:v>
                </c:pt>
                <c:pt idx="15">
                  <c:v>1.59682433071755E-2</c:v>
                </c:pt>
                <c:pt idx="16">
                  <c:v>0.19085571219536401</c:v>
                </c:pt>
                <c:pt idx="17">
                  <c:v>0.13400000000000001</c:v>
                </c:pt>
                <c:pt idx="18">
                  <c:v>4.5915823758898577E-2</c:v>
                </c:pt>
                <c:pt idx="19">
                  <c:v>6.0158138848213638E-3</c:v>
                </c:pt>
                <c:pt idx="20">
                  <c:v>1.8629617191704861E-2</c:v>
                </c:pt>
                <c:pt idx="21">
                  <c:v>0.11559082187558833</c:v>
                </c:pt>
                <c:pt idx="22">
                  <c:v>3.2962224465680201E-2</c:v>
                </c:pt>
                <c:pt idx="23">
                  <c:v>0.23952282018588894</c:v>
                </c:pt>
                <c:pt idx="24">
                  <c:v>0.12929259497923415</c:v>
                </c:pt>
                <c:pt idx="25">
                  <c:v>5.1094722068550175E-2</c:v>
                </c:pt>
                <c:pt idx="26">
                  <c:v>0.13682993367510043</c:v>
                </c:pt>
                <c:pt idx="27">
                  <c:v>9.9041442948836433E-2</c:v>
                </c:pt>
                <c:pt idx="28">
                  <c:v>7.387238742620561E-2</c:v>
                </c:pt>
                <c:pt idx="29">
                  <c:v>0.11214858487927537</c:v>
                </c:pt>
              </c:numCache>
            </c:numRef>
          </c:val>
          <c:extLst>
            <c:ext xmlns:c16="http://schemas.microsoft.com/office/drawing/2014/chart" uri="{C3380CC4-5D6E-409C-BE32-E72D297353CC}">
              <c16:uniqueId val="{00000001-2B1A-4C0C-9822-38C649B5BD43}"/>
            </c:ext>
          </c:extLst>
        </c:ser>
        <c:ser>
          <c:idx val="2"/>
          <c:order val="2"/>
          <c:tx>
            <c:v>Best Mgmt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RESULTS'!$AC$4:$AC$33</c:f>
              <c:numCache>
                <c:formatCode>0.00</c:formatCode>
                <c:ptCount val="30"/>
                <c:pt idx="0">
                  <c:v>9.5044843169887816E-2</c:v>
                </c:pt>
                <c:pt idx="1">
                  <c:v>0.27226036827357963</c:v>
                </c:pt>
                <c:pt idx="2">
                  <c:v>7.0055122981306894E-2</c:v>
                </c:pt>
                <c:pt idx="3">
                  <c:v>0.12492226539641288</c:v>
                </c:pt>
                <c:pt idx="4">
                  <c:v>4.1804998870013876E-2</c:v>
                </c:pt>
                <c:pt idx="5">
                  <c:v>0.37162774923902397</c:v>
                </c:pt>
                <c:pt idx="6">
                  <c:v>4.3223205408950138E-2</c:v>
                </c:pt>
                <c:pt idx="7">
                  <c:v>5.6470837196628321E-2</c:v>
                </c:pt>
                <c:pt idx="8">
                  <c:v>3.3234974101660986E-2</c:v>
                </c:pt>
                <c:pt idx="9">
                  <c:v>3.7485148986779127E-2</c:v>
                </c:pt>
                <c:pt idx="10">
                  <c:v>0.14234189153047502</c:v>
                </c:pt>
                <c:pt idx="11">
                  <c:v>5.5684960734647404E-2</c:v>
                </c:pt>
                <c:pt idx="12">
                  <c:v>6.5816930122200218E-2</c:v>
                </c:pt>
                <c:pt idx="13">
                  <c:v>9.7426376825625327E-2</c:v>
                </c:pt>
                <c:pt idx="14">
                  <c:v>6.6899445420262715E-2</c:v>
                </c:pt>
                <c:pt idx="15">
                  <c:v>1.5496958348456991E-2</c:v>
                </c:pt>
                <c:pt idx="16">
                  <c:v>0.18973303153539134</c:v>
                </c:pt>
                <c:pt idx="17">
                  <c:v>0.126</c:v>
                </c:pt>
                <c:pt idx="18">
                  <c:v>4.5776473762665137E-2</c:v>
                </c:pt>
                <c:pt idx="19">
                  <c:v>5.6831421492551937E-3</c:v>
                </c:pt>
                <c:pt idx="20">
                  <c:v>1.7590018018060594E-2</c:v>
                </c:pt>
                <c:pt idx="21">
                  <c:v>0.11454569690383787</c:v>
                </c:pt>
                <c:pt idx="22">
                  <c:v>3.2283019672232793E-2</c:v>
                </c:pt>
                <c:pt idx="23">
                  <c:v>0.2316492326711278</c:v>
                </c:pt>
                <c:pt idx="24">
                  <c:v>0.12431980286464822</c:v>
                </c:pt>
                <c:pt idx="25">
                  <c:v>4.2218096624437651E-2</c:v>
                </c:pt>
                <c:pt idx="26">
                  <c:v>0.13033484188672545</c:v>
                </c:pt>
                <c:pt idx="27">
                  <c:v>8.4537465947960799E-2</c:v>
                </c:pt>
                <c:pt idx="28">
                  <c:v>7.0953417710276523E-2</c:v>
                </c:pt>
                <c:pt idx="29">
                  <c:v>0.10738551756780035</c:v>
                </c:pt>
              </c:numCache>
            </c:numRef>
          </c:val>
          <c:extLst>
            <c:ext xmlns:c16="http://schemas.microsoft.com/office/drawing/2014/chart" uri="{C3380CC4-5D6E-409C-BE32-E72D297353CC}">
              <c16:uniqueId val="{00000002-2B1A-4C0C-9822-38C649B5BD43}"/>
            </c:ext>
          </c:extLst>
        </c:ser>
        <c:dLbls>
          <c:showLegendKey val="0"/>
          <c:showVal val="0"/>
          <c:showCatName val="0"/>
          <c:showSerName val="0"/>
          <c:showPercent val="0"/>
          <c:showBubbleSize val="0"/>
        </c:dLbls>
        <c:gapWidth val="150"/>
        <c:axId val="801270784"/>
        <c:axId val="850889536"/>
      </c:barChart>
      <c:catAx>
        <c:axId val="801270784"/>
        <c:scaling>
          <c:orientation val="minMax"/>
        </c:scaling>
        <c:delete val="0"/>
        <c:axPos val="b"/>
        <c:numFmt formatCode="General" sourceLinked="0"/>
        <c:majorTickMark val="out"/>
        <c:minorTickMark val="none"/>
        <c:tickLblPos val="nextTo"/>
        <c:txPr>
          <a:bodyPr/>
          <a:lstStyle/>
          <a:p>
            <a:pPr>
              <a:defRPr sz="1050"/>
            </a:pPr>
            <a:endParaRPr lang="en-US"/>
          </a:p>
        </c:txPr>
        <c:crossAx val="850889536"/>
        <c:crosses val="autoZero"/>
        <c:auto val="1"/>
        <c:lblAlgn val="ctr"/>
        <c:lblOffset val="100"/>
        <c:noMultiLvlLbl val="0"/>
      </c:catAx>
      <c:valAx>
        <c:axId val="850889536"/>
        <c:scaling>
          <c:orientation val="minMax"/>
          <c:max val="1.2"/>
        </c:scaling>
        <c:delete val="0"/>
        <c:axPos val="l"/>
        <c:majorGridlines/>
        <c:numFmt formatCode="0.00" sourceLinked="1"/>
        <c:majorTickMark val="out"/>
        <c:minorTickMark val="none"/>
        <c:tickLblPos val="nextTo"/>
        <c:crossAx val="801270784"/>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Phosphorus Export</a:t>
            </a:r>
            <a:r>
              <a:rPr lang="en-US" baseline="0"/>
              <a:t> Reductions of a 50' Buffer (lbs P/ac/yr)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Management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RESULTS'!$AE$4:$AE$33</c:f>
              <c:numCache>
                <c:formatCode>0.00</c:formatCode>
                <c:ptCount val="30"/>
                <c:pt idx="0">
                  <c:v>0.43565315801577009</c:v>
                </c:pt>
                <c:pt idx="1">
                  <c:v>0.71120166835809839</c:v>
                </c:pt>
                <c:pt idx="2">
                  <c:v>0.28188022546939173</c:v>
                </c:pt>
                <c:pt idx="3">
                  <c:v>0.5095539902770454</c:v>
                </c:pt>
                <c:pt idx="4">
                  <c:v>0.17764943902506258</c:v>
                </c:pt>
                <c:pt idx="5">
                  <c:v>1.0647714824556882</c:v>
                </c:pt>
                <c:pt idx="6">
                  <c:v>0.20890236507897136</c:v>
                </c:pt>
                <c:pt idx="7">
                  <c:v>0.27000781192483758</c:v>
                </c:pt>
                <c:pt idx="8">
                  <c:v>0.14996381216401389</c:v>
                </c:pt>
                <c:pt idx="9">
                  <c:v>0.16274179379219023</c:v>
                </c:pt>
                <c:pt idx="10">
                  <c:v>0.3674279189684489</c:v>
                </c:pt>
                <c:pt idx="11">
                  <c:v>0.2958948485196381</c:v>
                </c:pt>
                <c:pt idx="12">
                  <c:v>0.31834204666395538</c:v>
                </c:pt>
                <c:pt idx="13">
                  <c:v>0.32195956992150032</c:v>
                </c:pt>
                <c:pt idx="14">
                  <c:v>0.38810856663089366</c:v>
                </c:pt>
                <c:pt idx="15">
                  <c:v>7.2670703695441707E-2</c:v>
                </c:pt>
                <c:pt idx="16">
                  <c:v>0.75794835053148391</c:v>
                </c:pt>
                <c:pt idx="17">
                  <c:v>0.39500000000000002</c:v>
                </c:pt>
                <c:pt idx="18">
                  <c:v>0.1913147804885289</c:v>
                </c:pt>
                <c:pt idx="19">
                  <c:v>3.1578795739464094E-2</c:v>
                </c:pt>
                <c:pt idx="20">
                  <c:v>8.5104854517855877E-2</c:v>
                </c:pt>
                <c:pt idx="21">
                  <c:v>0.43143435191800927</c:v>
                </c:pt>
                <c:pt idx="22">
                  <c:v>0.13756512894004036</c:v>
                </c:pt>
                <c:pt idx="23">
                  <c:v>0.81732752978347167</c:v>
                </c:pt>
                <c:pt idx="24">
                  <c:v>0.45776677540198324</c:v>
                </c:pt>
                <c:pt idx="25">
                  <c:v>0.38087352011580372</c:v>
                </c:pt>
                <c:pt idx="26">
                  <c:v>0.57828693217039939</c:v>
                </c:pt>
                <c:pt idx="27">
                  <c:v>0.54250906773418417</c:v>
                </c:pt>
                <c:pt idx="28">
                  <c:v>0.33562843957212252</c:v>
                </c:pt>
                <c:pt idx="29">
                  <c:v>0.49146637398932069</c:v>
                </c:pt>
              </c:numCache>
            </c:numRef>
          </c:val>
          <c:extLst>
            <c:ext xmlns:c16="http://schemas.microsoft.com/office/drawing/2014/chart" uri="{C3380CC4-5D6E-409C-BE32-E72D297353CC}">
              <c16:uniqueId val="{00000000-E5EF-4131-9159-0E585A708C9D}"/>
            </c:ext>
          </c:extLst>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RESULTS'!$AG$4:$AG$33</c:f>
              <c:numCache>
                <c:formatCode>0.00</c:formatCode>
                <c:ptCount val="30"/>
                <c:pt idx="0">
                  <c:v>0.23307185559325302</c:v>
                </c:pt>
                <c:pt idx="1">
                  <c:v>0.4997419295478398</c:v>
                </c:pt>
                <c:pt idx="2">
                  <c:v>0.20159113730180422</c:v>
                </c:pt>
                <c:pt idx="3">
                  <c:v>0.30180479748660699</c:v>
                </c:pt>
                <c:pt idx="4">
                  <c:v>0.10932273170773088</c:v>
                </c:pt>
                <c:pt idx="5">
                  <c:v>0.52228628272216682</c:v>
                </c:pt>
                <c:pt idx="6">
                  <c:v>0.11920077315745342</c:v>
                </c:pt>
                <c:pt idx="7">
                  <c:v>0.1547201954619471</c:v>
                </c:pt>
                <c:pt idx="8">
                  <c:v>8.3766768451378149E-2</c:v>
                </c:pt>
                <c:pt idx="9">
                  <c:v>9.7432109914844522E-2</c:v>
                </c:pt>
                <c:pt idx="10">
                  <c:v>0.16351504247286991</c:v>
                </c:pt>
                <c:pt idx="11">
                  <c:v>0.15893436420993784</c:v>
                </c:pt>
                <c:pt idx="12">
                  <c:v>0.15348634392726421</c:v>
                </c:pt>
                <c:pt idx="13">
                  <c:v>0.22583680907816314</c:v>
                </c:pt>
                <c:pt idx="14">
                  <c:v>0.17157396021498891</c:v>
                </c:pt>
                <c:pt idx="15">
                  <c:v>4.5473465864828366E-2</c:v>
                </c:pt>
                <c:pt idx="16">
                  <c:v>0.5117204908274513</c:v>
                </c:pt>
                <c:pt idx="17">
                  <c:v>0.13400000000000001</c:v>
                </c:pt>
                <c:pt idx="18">
                  <c:v>0.11695402629122509</c:v>
                </c:pt>
                <c:pt idx="19">
                  <c:v>1.7131496688659265E-2</c:v>
                </c:pt>
                <c:pt idx="20">
                  <c:v>5.3052376842299687E-2</c:v>
                </c:pt>
                <c:pt idx="21">
                  <c:v>0.2944259933492297</c:v>
                </c:pt>
                <c:pt idx="22">
                  <c:v>9.386797033555716E-2</c:v>
                </c:pt>
                <c:pt idx="23">
                  <c:v>0.45776677540198324</c:v>
                </c:pt>
                <c:pt idx="24">
                  <c:v>0.24709902063221237</c:v>
                </c:pt>
                <c:pt idx="25">
                  <c:v>0.12196221268294394</c:v>
                </c:pt>
                <c:pt idx="26">
                  <c:v>0.32661067125262955</c:v>
                </c:pt>
                <c:pt idx="27">
                  <c:v>0.1892841856765986</c:v>
                </c:pt>
                <c:pt idx="28">
                  <c:v>0.19806593115556648</c:v>
                </c:pt>
                <c:pt idx="29">
                  <c:v>0.26769672105832609</c:v>
                </c:pt>
              </c:numCache>
            </c:numRef>
          </c:val>
          <c:extLst>
            <c:ext xmlns:c16="http://schemas.microsoft.com/office/drawing/2014/chart" uri="{C3380CC4-5D6E-409C-BE32-E72D297353CC}">
              <c16:uniqueId val="{00000001-E5EF-4131-9159-0E585A708C9D}"/>
            </c:ext>
          </c:extLst>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RESULTS'!$AI$4:$AI$33</c:f>
              <c:numCache>
                <c:formatCode>0.00</c:formatCode>
                <c:ptCount val="30"/>
                <c:pt idx="0">
                  <c:v>0.22687038715174737</c:v>
                </c:pt>
                <c:pt idx="1">
                  <c:v>0.52033351460052413</c:v>
                </c:pt>
                <c:pt idx="2">
                  <c:v>0.19949904208406455</c:v>
                </c:pt>
                <c:pt idx="3">
                  <c:v>0.29818727422906205</c:v>
                </c:pt>
                <c:pt idx="4">
                  <c:v>0.10648318023480274</c:v>
                </c:pt>
                <c:pt idx="5">
                  <c:v>0.46457509126115398</c:v>
                </c:pt>
                <c:pt idx="6">
                  <c:v>0.11588964056974638</c:v>
                </c:pt>
                <c:pt idx="7">
                  <c:v>0.15140906287424005</c:v>
                </c:pt>
                <c:pt idx="8">
                  <c:v>8.4654128286668184E-2</c:v>
                </c:pt>
                <c:pt idx="9">
                  <c:v>9.5479918277206477E-2</c:v>
                </c:pt>
                <c:pt idx="10">
                  <c:v>0.17794284033812316</c:v>
                </c:pt>
                <c:pt idx="11">
                  <c:v>0.14930197850024463</c:v>
                </c:pt>
                <c:pt idx="12">
                  <c:v>0.15710386718480915</c:v>
                </c:pt>
                <c:pt idx="13">
                  <c:v>0.23255506655646091</c:v>
                </c:pt>
                <c:pt idx="14">
                  <c:v>0.1596878123687698</c:v>
                </c:pt>
                <c:pt idx="15">
                  <c:v>4.4131367045901149E-2</c:v>
                </c:pt>
                <c:pt idx="16">
                  <c:v>0.50871037029317234</c:v>
                </c:pt>
                <c:pt idx="17">
                  <c:v>0.126</c:v>
                </c:pt>
                <c:pt idx="18">
                  <c:v>0.11659908235710903</c:v>
                </c:pt>
                <c:pt idx="19">
                  <c:v>1.618413281647535E-2</c:v>
                </c:pt>
                <c:pt idx="20">
                  <c:v>5.0091864741725001E-2</c:v>
                </c:pt>
                <c:pt idx="21">
                  <c:v>0.29176391384335965</c:v>
                </c:pt>
                <c:pt idx="22">
                  <c:v>9.1933769096514961E-2</c:v>
                </c:pt>
                <c:pt idx="23">
                  <c:v>0.44271907863271376</c:v>
                </c:pt>
                <c:pt idx="24">
                  <c:v>0.23759521214635804</c:v>
                </c:pt>
                <c:pt idx="25">
                  <c:v>0.10077386217446639</c:v>
                </c:pt>
                <c:pt idx="26">
                  <c:v>0.31110700014886544</c:v>
                </c:pt>
                <c:pt idx="27">
                  <c:v>0.1615647442595235</c:v>
                </c:pt>
                <c:pt idx="28">
                  <c:v>0.19023961776644077</c:v>
                </c:pt>
                <c:pt idx="29">
                  <c:v>0.25632736224889913</c:v>
                </c:pt>
              </c:numCache>
            </c:numRef>
          </c:val>
          <c:extLst>
            <c:ext xmlns:c16="http://schemas.microsoft.com/office/drawing/2014/chart" uri="{C3380CC4-5D6E-409C-BE32-E72D297353CC}">
              <c16:uniqueId val="{00000002-E5EF-4131-9159-0E585A708C9D}"/>
            </c:ext>
          </c:extLst>
        </c:ser>
        <c:dLbls>
          <c:showLegendKey val="0"/>
          <c:showVal val="0"/>
          <c:showCatName val="0"/>
          <c:showSerName val="0"/>
          <c:showPercent val="0"/>
          <c:showBubbleSize val="0"/>
        </c:dLbls>
        <c:gapWidth val="150"/>
        <c:axId val="854085632"/>
        <c:axId val="850891840"/>
      </c:barChart>
      <c:catAx>
        <c:axId val="854085632"/>
        <c:scaling>
          <c:orientation val="minMax"/>
        </c:scaling>
        <c:delete val="0"/>
        <c:axPos val="b"/>
        <c:numFmt formatCode="General" sourceLinked="0"/>
        <c:majorTickMark val="out"/>
        <c:minorTickMark val="none"/>
        <c:tickLblPos val="nextTo"/>
        <c:txPr>
          <a:bodyPr/>
          <a:lstStyle/>
          <a:p>
            <a:pPr>
              <a:defRPr sz="1050"/>
            </a:pPr>
            <a:endParaRPr lang="en-US"/>
          </a:p>
        </c:txPr>
        <c:crossAx val="850891840"/>
        <c:crosses val="autoZero"/>
        <c:auto val="1"/>
        <c:lblAlgn val="ctr"/>
        <c:lblOffset val="100"/>
        <c:noMultiLvlLbl val="0"/>
      </c:catAx>
      <c:valAx>
        <c:axId val="850891840"/>
        <c:scaling>
          <c:orientation val="minMax"/>
          <c:max val="1.2"/>
        </c:scaling>
        <c:delete val="0"/>
        <c:axPos val="l"/>
        <c:majorGridlines/>
        <c:numFmt formatCode="0.00" sourceLinked="1"/>
        <c:majorTickMark val="out"/>
        <c:minorTickMark val="none"/>
        <c:tickLblPos val="nextTo"/>
        <c:crossAx val="854085632"/>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Contaminant Removal</a:t>
            </a:r>
            <a:r>
              <a:rPr lang="en-US" baseline="0"/>
              <a:t> Efficiencies of Buffers</a:t>
            </a:r>
            <a:endParaRPr lang="en-US"/>
          </a:p>
        </c:rich>
      </c:tx>
      <c:overlay val="0"/>
    </c:title>
    <c:autoTitleDeleted val="0"/>
    <c:plotArea>
      <c:layout>
        <c:manualLayout>
          <c:layoutTarget val="inner"/>
          <c:xMode val="edge"/>
          <c:yMode val="edge"/>
          <c:x val="5.1371200126149437E-2"/>
          <c:y val="0.20016703786191539"/>
          <c:w val="0.9313984954358705"/>
          <c:h val="0.58350096989726274"/>
        </c:manualLayout>
      </c:layout>
      <c:barChart>
        <c:barDir val="col"/>
        <c:grouping val="clustered"/>
        <c:varyColors val="0"/>
        <c:ser>
          <c:idx val="3"/>
          <c:order val="0"/>
          <c:tx>
            <c:strRef>
              <c:f>'270 Baseline RESULTS'!$W$3</c:f>
              <c:strCache>
                <c:ptCount val="1"/>
                <c:pt idx="0">
                  <c:v>% Phosphorus Reduction from 50' buffer</c:v>
                </c:pt>
              </c:strCache>
            </c:strRef>
          </c:tx>
          <c:spPr>
            <a:solidFill>
              <a:schemeClr val="accent1">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RESULTS'!$W$4:$W$33</c:f>
              <c:numCache>
                <c:formatCode>0.00</c:formatCode>
                <c:ptCount val="30"/>
                <c:pt idx="0">
                  <c:v>51.678903679213533</c:v>
                </c:pt>
                <c:pt idx="1">
                  <c:v>79.198404048786017</c:v>
                </c:pt>
                <c:pt idx="2">
                  <c:v>3.9473494674330158</c:v>
                </c:pt>
                <c:pt idx="3">
                  <c:v>51.678903679213533</c:v>
                </c:pt>
                <c:pt idx="4">
                  <c:v>17.747196705800455</c:v>
                </c:pt>
                <c:pt idx="5">
                  <c:v>96.185319101688194</c:v>
                </c:pt>
                <c:pt idx="6">
                  <c:v>30.101205342791257</c:v>
                </c:pt>
                <c:pt idx="7">
                  <c:v>30.101205342791257</c:v>
                </c:pt>
                <c:pt idx="8">
                  <c:v>17.747196705800455</c:v>
                </c:pt>
                <c:pt idx="9">
                  <c:v>17.747196705800455</c:v>
                </c:pt>
                <c:pt idx="10">
                  <c:v>96.185319101688194</c:v>
                </c:pt>
                <c:pt idx="11">
                  <c:v>30.101205342791257</c:v>
                </c:pt>
                <c:pt idx="12">
                  <c:v>51.678903679213533</c:v>
                </c:pt>
                <c:pt idx="13">
                  <c:v>51.678903679213533</c:v>
                </c:pt>
                <c:pt idx="14">
                  <c:v>51.678903679213533</c:v>
                </c:pt>
                <c:pt idx="15">
                  <c:v>3.9473494674330158</c:v>
                </c:pt>
                <c:pt idx="16">
                  <c:v>30.101205342791257</c:v>
                </c:pt>
                <c:pt idx="17">
                  <c:v>100</c:v>
                </c:pt>
                <c:pt idx="18">
                  <c:v>17.747196705800455</c:v>
                </c:pt>
                <c:pt idx="19">
                  <c:v>3.9473494674330158</c:v>
                </c:pt>
                <c:pt idx="20">
                  <c:v>3.9473494674330158</c:v>
                </c:pt>
                <c:pt idx="21">
                  <c:v>17.747196705800455</c:v>
                </c:pt>
                <c:pt idx="22">
                  <c:v>3.9473494674330158</c:v>
                </c:pt>
                <c:pt idx="23">
                  <c:v>79.198404048786017</c:v>
                </c:pt>
                <c:pt idx="24">
                  <c:v>79.198404048786017</c:v>
                </c:pt>
                <c:pt idx="25">
                  <c:v>51.678903679213533</c:v>
                </c:pt>
                <c:pt idx="26">
                  <c:v>51.678903679213533</c:v>
                </c:pt>
                <c:pt idx="27">
                  <c:v>79.198404048786017</c:v>
                </c:pt>
                <c:pt idx="28">
                  <c:v>30.101205342791257</c:v>
                </c:pt>
                <c:pt idx="29">
                  <c:v>51.678903679213533</c:v>
                </c:pt>
              </c:numCache>
            </c:numRef>
          </c:val>
          <c:extLst>
            <c:ext xmlns:c16="http://schemas.microsoft.com/office/drawing/2014/chart" uri="{C3380CC4-5D6E-409C-BE32-E72D297353CC}">
              <c16:uniqueId val="{00000000-6329-4457-9D8A-640348D6A0D0}"/>
            </c:ext>
          </c:extLst>
        </c:ser>
        <c:ser>
          <c:idx val="1"/>
          <c:order val="1"/>
          <c:tx>
            <c:strRef>
              <c:f>'270 Baseline RESULTS'!$O$3</c:f>
              <c:strCache>
                <c:ptCount val="1"/>
                <c:pt idx="0">
                  <c:v>% Phosphorus Reduction from 16.5' buffer</c:v>
                </c:pt>
              </c:strCache>
            </c:strRef>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RESULTS'!$O$4:$O$33</c:f>
              <c:numCache>
                <c:formatCode>0.00</c:formatCode>
                <c:ptCount val="30"/>
                <c:pt idx="0">
                  <c:v>21.650305961250073</c:v>
                </c:pt>
                <c:pt idx="1">
                  <c:v>41.439934288216072</c:v>
                </c:pt>
                <c:pt idx="2">
                  <c:v>1.3861322315256637</c:v>
                </c:pt>
                <c:pt idx="3">
                  <c:v>21.650305961250073</c:v>
                </c:pt>
                <c:pt idx="4">
                  <c:v>6.9674998116689739</c:v>
                </c:pt>
                <c:pt idx="5">
                  <c:v>76.941562989445956</c:v>
                </c:pt>
                <c:pt idx="6">
                  <c:v>11.226806599727302</c:v>
                </c:pt>
                <c:pt idx="7">
                  <c:v>11.226806599727302</c:v>
                </c:pt>
                <c:pt idx="8">
                  <c:v>6.9674998116689739</c:v>
                </c:pt>
                <c:pt idx="9">
                  <c:v>6.9674998116689739</c:v>
                </c:pt>
                <c:pt idx="10">
                  <c:v>76.941562989445956</c:v>
                </c:pt>
                <c:pt idx="11">
                  <c:v>11.226806599727302</c:v>
                </c:pt>
                <c:pt idx="12">
                  <c:v>21.650305961250073</c:v>
                </c:pt>
                <c:pt idx="13">
                  <c:v>21.650305961250073</c:v>
                </c:pt>
                <c:pt idx="14">
                  <c:v>21.650305961250073</c:v>
                </c:pt>
                <c:pt idx="15">
                  <c:v>1.3861322315256637</c:v>
                </c:pt>
                <c:pt idx="16">
                  <c:v>11.226806599727302</c:v>
                </c:pt>
                <c:pt idx="17">
                  <c:v>100</c:v>
                </c:pt>
                <c:pt idx="18">
                  <c:v>6.9674998116689739</c:v>
                </c:pt>
                <c:pt idx="19">
                  <c:v>1.3861322315256637</c:v>
                </c:pt>
                <c:pt idx="20">
                  <c:v>1.3861322315256637</c:v>
                </c:pt>
                <c:pt idx="21">
                  <c:v>6.9674998116689739</c:v>
                </c:pt>
                <c:pt idx="22">
                  <c:v>1.3861322315256637</c:v>
                </c:pt>
                <c:pt idx="23">
                  <c:v>41.439934288216072</c:v>
                </c:pt>
                <c:pt idx="24">
                  <c:v>41.439934288216072</c:v>
                </c:pt>
                <c:pt idx="25">
                  <c:v>21.650305961250073</c:v>
                </c:pt>
                <c:pt idx="26">
                  <c:v>21.650305961250073</c:v>
                </c:pt>
                <c:pt idx="27">
                  <c:v>41.439934288216072</c:v>
                </c:pt>
                <c:pt idx="28">
                  <c:v>11.226806599727302</c:v>
                </c:pt>
                <c:pt idx="29">
                  <c:v>21.650305961250073</c:v>
                </c:pt>
              </c:numCache>
            </c:numRef>
          </c:val>
          <c:extLst>
            <c:ext xmlns:c16="http://schemas.microsoft.com/office/drawing/2014/chart" uri="{C3380CC4-5D6E-409C-BE32-E72D297353CC}">
              <c16:uniqueId val="{00000001-6329-4457-9D8A-640348D6A0D0}"/>
            </c:ext>
          </c:extLst>
        </c:ser>
        <c:dLbls>
          <c:showLegendKey val="0"/>
          <c:showVal val="0"/>
          <c:showCatName val="0"/>
          <c:showSerName val="0"/>
          <c:showPercent val="0"/>
          <c:showBubbleSize val="0"/>
        </c:dLbls>
        <c:gapWidth val="150"/>
        <c:axId val="801269248"/>
        <c:axId val="849215488"/>
      </c:barChart>
      <c:catAx>
        <c:axId val="801269248"/>
        <c:scaling>
          <c:orientation val="minMax"/>
        </c:scaling>
        <c:delete val="0"/>
        <c:axPos val="b"/>
        <c:numFmt formatCode="General" sourceLinked="0"/>
        <c:majorTickMark val="out"/>
        <c:minorTickMark val="none"/>
        <c:tickLblPos val="nextTo"/>
        <c:crossAx val="849215488"/>
        <c:crosses val="autoZero"/>
        <c:auto val="1"/>
        <c:lblAlgn val="ctr"/>
        <c:lblOffset val="100"/>
        <c:noMultiLvlLbl val="0"/>
      </c:catAx>
      <c:valAx>
        <c:axId val="849215488"/>
        <c:scaling>
          <c:orientation val="minMax"/>
          <c:max val="100"/>
        </c:scaling>
        <c:delete val="0"/>
        <c:axPos val="l"/>
        <c:majorGridlines/>
        <c:numFmt formatCode="0" sourceLinked="0"/>
        <c:majorTickMark val="out"/>
        <c:minorTickMark val="none"/>
        <c:tickLblPos val="nextTo"/>
        <c:crossAx val="801269248"/>
        <c:crosses val="autoZero"/>
        <c:crossBetween val="between"/>
      </c:valAx>
    </c:plotArea>
    <c:legend>
      <c:legendPos val="r"/>
      <c:layout>
        <c:manualLayout>
          <c:xMode val="edge"/>
          <c:yMode val="edge"/>
          <c:x val="0.37017213652904291"/>
          <c:y val="6.7164003824324248E-2"/>
          <c:w val="0.22838193671937704"/>
          <c:h val="0.11112535714877837"/>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Phosphorus Export</a:t>
            </a:r>
            <a:r>
              <a:rPr lang="en-US" baseline="0"/>
              <a:t> per Agroecoregion (lbs P/ac/yr)</a:t>
            </a:r>
          </a:p>
          <a:p>
            <a:pPr>
              <a:defRPr/>
            </a:pPr>
            <a:r>
              <a:rPr lang="en-US" baseline="0"/>
              <a:t>Average Management Considerations</a:t>
            </a:r>
            <a:endParaRPr lang="en-US"/>
          </a:p>
        </c:rich>
      </c:tx>
      <c:overlay val="0"/>
    </c:title>
    <c:autoTitleDeleted val="0"/>
    <c:plotArea>
      <c:layout>
        <c:manualLayout>
          <c:layoutTarget val="inner"/>
          <c:xMode val="edge"/>
          <c:yMode val="edge"/>
          <c:x val="3.7986991582572023E-2"/>
          <c:y val="0.23489654211531524"/>
          <c:w val="0.93968813687735919"/>
          <c:h val="0.53670042495018333"/>
        </c:manualLayout>
      </c:layout>
      <c:barChart>
        <c:barDir val="col"/>
        <c:grouping val="clustered"/>
        <c:varyColors val="0"/>
        <c:ser>
          <c:idx val="1"/>
          <c:order val="0"/>
          <c:tx>
            <c:v>No Buffer - Avg Mgmt</c:v>
          </c:tx>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RESULTS'!$E$4:$E$33</c:f>
              <c:numCache>
                <c:formatCode>General</c:formatCode>
                <c:ptCount val="30"/>
                <c:pt idx="0">
                  <c:v>0.45099999999999996</c:v>
                </c:pt>
                <c:pt idx="1">
                  <c:v>0.63100000000000001</c:v>
                </c:pt>
                <c:pt idx="2">
                  <c:v>5.1070000000000002</c:v>
                </c:pt>
                <c:pt idx="3">
                  <c:v>0.58399999999999996</c:v>
                </c:pt>
                <c:pt idx="4">
                  <c:v>0.61599999999999999</c:v>
                </c:pt>
                <c:pt idx="5">
                  <c:v>0.54299999999999993</c:v>
                </c:pt>
                <c:pt idx="6">
                  <c:v>0.39600000000000002</c:v>
                </c:pt>
                <c:pt idx="7">
                  <c:v>0.51400000000000001</c:v>
                </c:pt>
                <c:pt idx="8">
                  <c:v>0.47199999999999998</c:v>
                </c:pt>
                <c:pt idx="9">
                  <c:v>0.54900000000000004</c:v>
                </c:pt>
                <c:pt idx="10">
                  <c:v>0.16999999999999998</c:v>
                </c:pt>
                <c:pt idx="11">
                  <c:v>0.52800000000000002</c:v>
                </c:pt>
                <c:pt idx="12">
                  <c:v>0.29700000000000004</c:v>
                </c:pt>
                <c:pt idx="13">
                  <c:v>0.437</c:v>
                </c:pt>
                <c:pt idx="14">
                  <c:v>0.33199999999999996</c:v>
                </c:pt>
                <c:pt idx="15">
                  <c:v>1.1519999999999999</c:v>
                </c:pt>
                <c:pt idx="16">
                  <c:v>1.7</c:v>
                </c:pt>
                <c:pt idx="17">
                  <c:v>0.13400000000000001</c:v>
                </c:pt>
                <c:pt idx="18">
                  <c:v>0.65900000000000003</c:v>
                </c:pt>
                <c:pt idx="19">
                  <c:v>0.434</c:v>
                </c:pt>
                <c:pt idx="20">
                  <c:v>1.3439999999999999</c:v>
                </c:pt>
                <c:pt idx="21">
                  <c:v>1.659</c:v>
                </c:pt>
                <c:pt idx="22">
                  <c:v>2.3780000000000001</c:v>
                </c:pt>
                <c:pt idx="23">
                  <c:v>0.57800000000000007</c:v>
                </c:pt>
                <c:pt idx="24">
                  <c:v>0.312</c:v>
                </c:pt>
                <c:pt idx="25">
                  <c:v>0.23599999999999999</c:v>
                </c:pt>
                <c:pt idx="26">
                  <c:v>0.63200000000000001</c:v>
                </c:pt>
                <c:pt idx="27">
                  <c:v>0.23900000000000002</c:v>
                </c:pt>
                <c:pt idx="28">
                  <c:v>0.65800000000000003</c:v>
                </c:pt>
                <c:pt idx="29">
                  <c:v>0.51800000000000002</c:v>
                </c:pt>
              </c:numCache>
            </c:numRef>
          </c:val>
          <c:extLst>
            <c:ext xmlns:c16="http://schemas.microsoft.com/office/drawing/2014/chart" uri="{C3380CC4-5D6E-409C-BE32-E72D297353CC}">
              <c16:uniqueId val="{00000000-A632-445E-AF13-2114894DDC18}"/>
            </c:ext>
          </c:extLst>
        </c:ser>
        <c:ser>
          <c:idx val="4"/>
          <c:order val="1"/>
          <c:tx>
            <c:v>16.5' Buffer - Avg Mgmt</c:v>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RESULTS'!$K$4:$K$33</c:f>
              <c:numCache>
                <c:formatCode>0.00</c:formatCode>
                <c:ptCount val="30"/>
                <c:pt idx="0">
                  <c:v>0.35335712011476217</c:v>
                </c:pt>
                <c:pt idx="1">
                  <c:v>0.36951401464135658</c:v>
                </c:pt>
                <c:pt idx="2">
                  <c:v>5.0362102269359843</c:v>
                </c:pt>
                <c:pt idx="3">
                  <c:v>0.45756221318629953</c:v>
                </c:pt>
                <c:pt idx="4">
                  <c:v>0.57308020116011915</c:v>
                </c:pt>
                <c:pt idx="5">
                  <c:v>0.12520731296730844</c:v>
                </c:pt>
                <c:pt idx="6">
                  <c:v>0.35154184586507992</c:v>
                </c:pt>
                <c:pt idx="7">
                  <c:v>0.45629421407740167</c:v>
                </c:pt>
                <c:pt idx="8">
                  <c:v>0.43911340088892242</c:v>
                </c:pt>
                <c:pt idx="9">
                  <c:v>0.51074842603393733</c:v>
                </c:pt>
                <c:pt idx="10">
                  <c:v>3.9199342917941873E-2</c:v>
                </c:pt>
                <c:pt idx="11">
                  <c:v>0.46872246115343985</c:v>
                </c:pt>
                <c:pt idx="12">
                  <c:v>0.23269859129508733</c:v>
                </c:pt>
                <c:pt idx="13">
                  <c:v>0.34238816294933716</c:v>
                </c:pt>
                <c:pt idx="14">
                  <c:v>0.26012098420864971</c:v>
                </c:pt>
                <c:pt idx="15">
                  <c:v>1.1360317566928244</c:v>
                </c:pt>
                <c:pt idx="16">
                  <c:v>1.5091442878046359</c:v>
                </c:pt>
                <c:pt idx="17">
                  <c:v>0</c:v>
                </c:pt>
                <c:pt idx="18">
                  <c:v>0.61308417624110145</c:v>
                </c:pt>
                <c:pt idx="19">
                  <c:v>0.42798418611517863</c:v>
                </c:pt>
                <c:pt idx="20">
                  <c:v>1.325370382808295</c:v>
                </c:pt>
                <c:pt idx="21">
                  <c:v>1.5434091781244117</c:v>
                </c:pt>
                <c:pt idx="22">
                  <c:v>2.3450377755343199</c:v>
                </c:pt>
                <c:pt idx="23">
                  <c:v>0.33847717981411113</c:v>
                </c:pt>
                <c:pt idx="24">
                  <c:v>0.18270740502076585</c:v>
                </c:pt>
                <c:pt idx="25">
                  <c:v>0.18490527793144981</c:v>
                </c:pt>
                <c:pt idx="26">
                  <c:v>0.49517006632489957</c:v>
                </c:pt>
                <c:pt idx="27">
                  <c:v>0.13995855705116358</c:v>
                </c:pt>
                <c:pt idx="28">
                  <c:v>0.58412761257379442</c:v>
                </c:pt>
                <c:pt idx="29">
                  <c:v>0.40585141512072465</c:v>
                </c:pt>
              </c:numCache>
            </c:numRef>
          </c:val>
          <c:extLst>
            <c:ext xmlns:c16="http://schemas.microsoft.com/office/drawing/2014/chart" uri="{C3380CC4-5D6E-409C-BE32-E72D297353CC}">
              <c16:uniqueId val="{00000001-A632-445E-AF13-2114894DDC18}"/>
            </c:ext>
          </c:extLst>
        </c:ser>
        <c:ser>
          <c:idx val="7"/>
          <c:order val="2"/>
          <c:tx>
            <c:v>50' Buffer - Avg Mgmt</c:v>
          </c:tx>
          <c:spPr>
            <a:solidFill>
              <a:schemeClr val="tx2">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RESULTS'!$S$4:$S$33</c:f>
              <c:numCache>
                <c:formatCode>0.00</c:formatCode>
                <c:ptCount val="30"/>
                <c:pt idx="0">
                  <c:v>0.21792814440674693</c:v>
                </c:pt>
                <c:pt idx="1">
                  <c:v>0.13125807045216023</c:v>
                </c:pt>
                <c:pt idx="2">
                  <c:v>4.905408862698196</c:v>
                </c:pt>
                <c:pt idx="3">
                  <c:v>0.28219520251339297</c:v>
                </c:pt>
                <c:pt idx="4">
                  <c:v>0.50667726829226911</c:v>
                </c:pt>
                <c:pt idx="5">
                  <c:v>2.0713717277833107E-2</c:v>
                </c:pt>
                <c:pt idx="6">
                  <c:v>0.2767992268425466</c:v>
                </c:pt>
                <c:pt idx="7">
                  <c:v>0.35927980453805292</c:v>
                </c:pt>
                <c:pt idx="8">
                  <c:v>0.38823323154862183</c:v>
                </c:pt>
                <c:pt idx="9">
                  <c:v>0.45156789008515552</c:v>
                </c:pt>
                <c:pt idx="10">
                  <c:v>6.48495752713007E-3</c:v>
                </c:pt>
                <c:pt idx="11">
                  <c:v>0.36906563579006219</c:v>
                </c:pt>
                <c:pt idx="12">
                  <c:v>0.14351365607273583</c:v>
                </c:pt>
                <c:pt idx="13">
                  <c:v>0.21116319092183686</c:v>
                </c:pt>
                <c:pt idx="14">
                  <c:v>0.16042603978501105</c:v>
                </c:pt>
                <c:pt idx="15">
                  <c:v>1.1065265341351715</c:v>
                </c:pt>
                <c:pt idx="16">
                  <c:v>1.1882795091725487</c:v>
                </c:pt>
                <c:pt idx="17">
                  <c:v>0</c:v>
                </c:pt>
                <c:pt idx="18">
                  <c:v>0.54204597370877494</c:v>
                </c:pt>
                <c:pt idx="19">
                  <c:v>0.41686850331134073</c:v>
                </c:pt>
                <c:pt idx="20">
                  <c:v>1.2909476231577002</c:v>
                </c:pt>
                <c:pt idx="21">
                  <c:v>1.3645740066507703</c:v>
                </c:pt>
                <c:pt idx="22">
                  <c:v>2.284132029664443</c:v>
                </c:pt>
                <c:pt idx="23">
                  <c:v>0.12023322459801683</c:v>
                </c:pt>
                <c:pt idx="24">
                  <c:v>6.4900979367787631E-2</c:v>
                </c:pt>
                <c:pt idx="25">
                  <c:v>0.11403778731705605</c:v>
                </c:pt>
                <c:pt idx="26">
                  <c:v>0.30538932874737046</c:v>
                </c:pt>
                <c:pt idx="27">
                  <c:v>4.9715814323401421E-2</c:v>
                </c:pt>
                <c:pt idx="28">
                  <c:v>0.45993406884443355</c:v>
                </c:pt>
                <c:pt idx="29">
                  <c:v>0.25030327894167392</c:v>
                </c:pt>
              </c:numCache>
            </c:numRef>
          </c:val>
          <c:extLst>
            <c:ext xmlns:c16="http://schemas.microsoft.com/office/drawing/2014/chart" uri="{C3380CC4-5D6E-409C-BE32-E72D297353CC}">
              <c16:uniqueId val="{00000002-A632-445E-AF13-2114894DDC18}"/>
            </c:ext>
          </c:extLst>
        </c:ser>
        <c:dLbls>
          <c:showLegendKey val="0"/>
          <c:showVal val="0"/>
          <c:showCatName val="0"/>
          <c:showSerName val="0"/>
          <c:showPercent val="0"/>
          <c:showBubbleSize val="0"/>
        </c:dLbls>
        <c:gapWidth val="150"/>
        <c:axId val="801268736"/>
        <c:axId val="849218368"/>
      </c:barChart>
      <c:catAx>
        <c:axId val="801268736"/>
        <c:scaling>
          <c:orientation val="minMax"/>
        </c:scaling>
        <c:delete val="0"/>
        <c:axPos val="b"/>
        <c:numFmt formatCode="General" sourceLinked="0"/>
        <c:majorTickMark val="out"/>
        <c:minorTickMark val="none"/>
        <c:tickLblPos val="nextTo"/>
        <c:crossAx val="849218368"/>
        <c:crosses val="autoZero"/>
        <c:auto val="1"/>
        <c:lblAlgn val="ctr"/>
        <c:lblOffset val="100"/>
        <c:noMultiLvlLbl val="0"/>
      </c:catAx>
      <c:valAx>
        <c:axId val="849218368"/>
        <c:scaling>
          <c:orientation val="minMax"/>
        </c:scaling>
        <c:delete val="0"/>
        <c:axPos val="l"/>
        <c:majorGridlines/>
        <c:numFmt formatCode="General" sourceLinked="1"/>
        <c:majorTickMark val="out"/>
        <c:minorTickMark val="none"/>
        <c:tickLblPos val="nextTo"/>
        <c:crossAx val="801268736"/>
        <c:crosses val="autoZero"/>
        <c:crossBetween val="between"/>
      </c:valAx>
    </c:plotArea>
    <c:legend>
      <c:legendPos val="r"/>
      <c:layout>
        <c:manualLayout>
          <c:xMode val="edge"/>
          <c:yMode val="edge"/>
          <c:x val="0.36244382367815708"/>
          <c:y val="0.10250879938640532"/>
          <c:w val="0.26206382489936664"/>
          <c:h val="0.1256954498395314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Sediment Export</a:t>
            </a:r>
            <a:r>
              <a:rPr lang="en-US" baseline="0"/>
              <a:t> per Agroecoregion (t/ac/yr)</a:t>
            </a:r>
          </a:p>
          <a:p>
            <a:pPr>
              <a:defRPr/>
            </a:pPr>
            <a:r>
              <a:rPr lang="en-US" baseline="0"/>
              <a:t>Average Management Considerations</a:t>
            </a:r>
            <a:endParaRPr lang="en-US"/>
          </a:p>
        </c:rich>
      </c:tx>
      <c:overlay val="0"/>
    </c:title>
    <c:autoTitleDeleted val="0"/>
    <c:plotArea>
      <c:layout>
        <c:manualLayout>
          <c:layoutTarget val="inner"/>
          <c:xMode val="edge"/>
          <c:yMode val="edge"/>
          <c:x val="3.7986991582572023E-2"/>
          <c:y val="0.25591988506135604"/>
          <c:w val="0.93907478867736183"/>
          <c:h val="0.51567708200414264"/>
        </c:manualLayout>
      </c:layout>
      <c:barChart>
        <c:barDir val="col"/>
        <c:grouping val="clustered"/>
        <c:varyColors val="0"/>
        <c:ser>
          <c:idx val="1"/>
          <c:order val="0"/>
          <c:tx>
            <c:v>No Buffer - Avg Mgmt</c:v>
          </c:tx>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RESULTS'!$D$4:$D$33</c:f>
              <c:numCache>
                <c:formatCode>General</c:formatCode>
                <c:ptCount val="30"/>
                <c:pt idx="0">
                  <c:v>2.08</c:v>
                </c:pt>
                <c:pt idx="1">
                  <c:v>4.1399999999999997</c:v>
                </c:pt>
                <c:pt idx="2">
                  <c:v>68.47</c:v>
                </c:pt>
                <c:pt idx="3">
                  <c:v>4.05</c:v>
                </c:pt>
                <c:pt idx="4">
                  <c:v>7.03</c:v>
                </c:pt>
                <c:pt idx="5">
                  <c:v>2.4300000000000002</c:v>
                </c:pt>
                <c:pt idx="6">
                  <c:v>4.21</c:v>
                </c:pt>
                <c:pt idx="7">
                  <c:v>5.01</c:v>
                </c:pt>
                <c:pt idx="8">
                  <c:v>4.3899999999999997</c:v>
                </c:pt>
                <c:pt idx="9">
                  <c:v>6.16</c:v>
                </c:pt>
                <c:pt idx="10">
                  <c:v>1.23</c:v>
                </c:pt>
                <c:pt idx="11">
                  <c:v>5.24</c:v>
                </c:pt>
                <c:pt idx="12">
                  <c:v>2.08</c:v>
                </c:pt>
                <c:pt idx="13">
                  <c:v>5.0199999999999996</c:v>
                </c:pt>
                <c:pt idx="14">
                  <c:v>2.84</c:v>
                </c:pt>
                <c:pt idx="15">
                  <c:v>14.37</c:v>
                </c:pt>
                <c:pt idx="16">
                  <c:v>16.21</c:v>
                </c:pt>
                <c:pt idx="17">
                  <c:v>0.3</c:v>
                </c:pt>
                <c:pt idx="18">
                  <c:v>5.62</c:v>
                </c:pt>
                <c:pt idx="19">
                  <c:v>4.18</c:v>
                </c:pt>
                <c:pt idx="20">
                  <c:v>15.14</c:v>
                </c:pt>
                <c:pt idx="21">
                  <c:v>14.88</c:v>
                </c:pt>
                <c:pt idx="22">
                  <c:v>31.13</c:v>
                </c:pt>
                <c:pt idx="23">
                  <c:v>5.65</c:v>
                </c:pt>
                <c:pt idx="24">
                  <c:v>3.2</c:v>
                </c:pt>
                <c:pt idx="25">
                  <c:v>1.36</c:v>
                </c:pt>
                <c:pt idx="26">
                  <c:v>6.48</c:v>
                </c:pt>
                <c:pt idx="27">
                  <c:v>1.18</c:v>
                </c:pt>
                <c:pt idx="28">
                  <c:v>6.38</c:v>
                </c:pt>
                <c:pt idx="29">
                  <c:v>4.58</c:v>
                </c:pt>
              </c:numCache>
            </c:numRef>
          </c:val>
          <c:extLst>
            <c:ext xmlns:c16="http://schemas.microsoft.com/office/drawing/2014/chart" uri="{C3380CC4-5D6E-409C-BE32-E72D297353CC}">
              <c16:uniqueId val="{00000000-7B87-4B2E-93EE-C2B648B9C00C}"/>
            </c:ext>
          </c:extLst>
        </c:ser>
        <c:ser>
          <c:idx val="4"/>
          <c:order val="1"/>
          <c:tx>
            <c:v>16.5' Buffer - Avg Mgmt</c:v>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RESULTS'!$J$4:$J$33</c:f>
              <c:numCache>
                <c:formatCode>0.00</c:formatCode>
                <c:ptCount val="30"/>
                <c:pt idx="0">
                  <c:v>1.2180493668051058</c:v>
                </c:pt>
                <c:pt idx="1">
                  <c:v>0.95461929223693742</c:v>
                </c:pt>
                <c:pt idx="2">
                  <c:v>67.520915261074379</c:v>
                </c:pt>
                <c:pt idx="3">
                  <c:v>2.3716826613272488</c:v>
                </c:pt>
                <c:pt idx="4">
                  <c:v>6.2407554960391707</c:v>
                </c:pt>
                <c:pt idx="5">
                  <c:v>0</c:v>
                </c:pt>
                <c:pt idx="6">
                  <c:v>3.298522119031372</c:v>
                </c:pt>
                <c:pt idx="7">
                  <c:v>3.9253196713413714</c:v>
                </c:pt>
                <c:pt idx="8">
                  <c:v>3.8971431902719713</c:v>
                </c:pt>
                <c:pt idx="9">
                  <c:v>5.4684287134567979</c:v>
                </c:pt>
                <c:pt idx="10">
                  <c:v>0</c:v>
                </c:pt>
                <c:pt idx="11">
                  <c:v>4.1055239676304964</c:v>
                </c:pt>
                <c:pt idx="12">
                  <c:v>1.2180493668051058</c:v>
                </c:pt>
                <c:pt idx="13">
                  <c:v>2.9397152987315529</c:v>
                </c:pt>
                <c:pt idx="14">
                  <c:v>1.6631058662146634</c:v>
                </c:pt>
                <c:pt idx="15">
                  <c:v>14.170812798329761</c:v>
                </c:pt>
                <c:pt idx="16">
                  <c:v>12.700485403681364</c:v>
                </c:pt>
                <c:pt idx="17">
                  <c:v>0</c:v>
                </c:pt>
                <c:pt idx="18">
                  <c:v>4.9890534690953254</c:v>
                </c:pt>
                <c:pt idx="19">
                  <c:v>4.1220596727222274</c:v>
                </c:pt>
                <c:pt idx="20">
                  <c:v>14.930139580147015</c:v>
                </c:pt>
                <c:pt idx="21">
                  <c:v>13.209451177960577</c:v>
                </c:pt>
                <c:pt idx="22">
                  <c:v>30.69849703632606</c:v>
                </c:pt>
                <c:pt idx="23">
                  <c:v>1.3028016910963036</c:v>
                </c:pt>
                <c:pt idx="24">
                  <c:v>0.73786998433772943</c:v>
                </c:pt>
                <c:pt idx="25">
                  <c:v>0.79641689368026147</c:v>
                </c:pt>
                <c:pt idx="26">
                  <c:v>3.7946922581235989</c:v>
                </c:pt>
                <c:pt idx="27">
                  <c:v>0.27208955672453772</c:v>
                </c:pt>
                <c:pt idx="28">
                  <c:v>4.998710479672245</c:v>
                </c:pt>
                <c:pt idx="29">
                  <c:v>2.6820510095997037</c:v>
                </c:pt>
              </c:numCache>
            </c:numRef>
          </c:val>
          <c:extLst>
            <c:ext xmlns:c16="http://schemas.microsoft.com/office/drawing/2014/chart" uri="{C3380CC4-5D6E-409C-BE32-E72D297353CC}">
              <c16:uniqueId val="{00000001-7B87-4B2E-93EE-C2B648B9C00C}"/>
            </c:ext>
          </c:extLst>
        </c:ser>
        <c:ser>
          <c:idx val="7"/>
          <c:order val="2"/>
          <c:tx>
            <c:v>50' Buffer - Avg Mgmt</c:v>
          </c:tx>
          <c:spPr>
            <a:solidFill>
              <a:schemeClr val="tx2">
                <a:lumMod val="60000"/>
                <a:lumOff val="40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RESULTS'!$R$4:$R$33</c:f>
              <c:numCache>
                <c:formatCode>0.00</c:formatCode>
                <c:ptCount val="30"/>
                <c:pt idx="0">
                  <c:v>0.43267319578525087</c:v>
                </c:pt>
                <c:pt idx="1">
                  <c:v>0.15792778919010877</c:v>
                </c:pt>
                <c:pt idx="2">
                  <c:v>65.767249819648612</c:v>
                </c:pt>
                <c:pt idx="3">
                  <c:v>0.84246463602416632</c:v>
                </c:pt>
                <c:pt idx="4">
                  <c:v>4.9138852644017748</c:v>
                </c:pt>
                <c:pt idx="5">
                  <c:v>0</c:v>
                </c:pt>
                <c:pt idx="6">
                  <c:v>2.0343181551051104</c:v>
                </c:pt>
                <c:pt idx="7">
                  <c:v>2.4208869256714021</c:v>
                </c:pt>
                <c:pt idx="8">
                  <c:v>3.0685570854514634</c:v>
                </c:pt>
                <c:pt idx="9">
                  <c:v>4.3057657508840581</c:v>
                </c:pt>
                <c:pt idx="10">
                  <c:v>0</c:v>
                </c:pt>
                <c:pt idx="11">
                  <c:v>2.532025447209211</c:v>
                </c:pt>
                <c:pt idx="12">
                  <c:v>0.43267319578525087</c:v>
                </c:pt>
                <c:pt idx="13">
                  <c:v>1.0442401167509419</c:v>
                </c:pt>
                <c:pt idx="14">
                  <c:v>0.59076532501447709</c:v>
                </c:pt>
                <c:pt idx="15">
                  <c:v>13.802765881529876</c:v>
                </c:pt>
                <c:pt idx="16">
                  <c:v>7.8328497135994866</c:v>
                </c:pt>
                <c:pt idx="17">
                  <c:v>0</c:v>
                </c:pt>
                <c:pt idx="18">
                  <c:v>3.9283122597351312</c:v>
                </c:pt>
                <c:pt idx="19">
                  <c:v>4.0150007922612998</c:v>
                </c:pt>
                <c:pt idx="20">
                  <c:v>14.542371290630642</c:v>
                </c:pt>
                <c:pt idx="21">
                  <c:v>10.40094064499266</c:v>
                </c:pt>
                <c:pt idx="22">
                  <c:v>29.9011901107881</c:v>
                </c:pt>
                <c:pt idx="23">
                  <c:v>0.21552947075461706</c:v>
                </c:pt>
                <c:pt idx="24">
                  <c:v>0.12206978874597781</c:v>
                </c:pt>
                <c:pt idx="25">
                  <c:v>0.28290170493651018</c:v>
                </c:pt>
                <c:pt idx="26">
                  <c:v>1.3479434176386662</c:v>
                </c:pt>
                <c:pt idx="27">
                  <c:v>4.5013234600079312E-2</c:v>
                </c:pt>
                <c:pt idx="28">
                  <c:v>3.0828859452661765</c:v>
                </c:pt>
                <c:pt idx="29">
                  <c:v>0.95271309456560049</c:v>
                </c:pt>
              </c:numCache>
            </c:numRef>
          </c:val>
          <c:extLst>
            <c:ext xmlns:c16="http://schemas.microsoft.com/office/drawing/2014/chart" uri="{C3380CC4-5D6E-409C-BE32-E72D297353CC}">
              <c16:uniqueId val="{00000002-7B87-4B2E-93EE-C2B648B9C00C}"/>
            </c:ext>
          </c:extLst>
        </c:ser>
        <c:dLbls>
          <c:showLegendKey val="0"/>
          <c:showVal val="0"/>
          <c:showCatName val="0"/>
          <c:showSerName val="0"/>
          <c:showPercent val="0"/>
          <c:showBubbleSize val="0"/>
        </c:dLbls>
        <c:gapWidth val="150"/>
        <c:axId val="801264128"/>
        <c:axId val="849220672"/>
      </c:barChart>
      <c:catAx>
        <c:axId val="801264128"/>
        <c:scaling>
          <c:orientation val="minMax"/>
        </c:scaling>
        <c:delete val="0"/>
        <c:axPos val="b"/>
        <c:numFmt formatCode="General" sourceLinked="0"/>
        <c:majorTickMark val="out"/>
        <c:minorTickMark val="none"/>
        <c:tickLblPos val="nextTo"/>
        <c:crossAx val="849220672"/>
        <c:crosses val="autoZero"/>
        <c:auto val="1"/>
        <c:lblAlgn val="ctr"/>
        <c:lblOffset val="100"/>
        <c:noMultiLvlLbl val="0"/>
      </c:catAx>
      <c:valAx>
        <c:axId val="849220672"/>
        <c:scaling>
          <c:orientation val="minMax"/>
        </c:scaling>
        <c:delete val="0"/>
        <c:axPos val="l"/>
        <c:majorGridlines/>
        <c:numFmt formatCode="General" sourceLinked="1"/>
        <c:majorTickMark val="out"/>
        <c:minorTickMark val="none"/>
        <c:tickLblPos val="nextTo"/>
        <c:crossAx val="801264128"/>
        <c:crosses val="autoZero"/>
        <c:crossBetween val="between"/>
      </c:valAx>
    </c:plotArea>
    <c:legend>
      <c:legendPos val="r"/>
      <c:layout>
        <c:manualLayout>
          <c:xMode val="edge"/>
          <c:yMode val="edge"/>
          <c:x val="0.36513828828594486"/>
          <c:y val="0.10250879938640532"/>
          <c:w val="0.26554126004177847"/>
          <c:h val="0.14321490229456543"/>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Contaminant Removal</a:t>
            </a:r>
            <a:r>
              <a:rPr lang="en-US" baseline="0"/>
              <a:t> Efficiencies of Buffers</a:t>
            </a:r>
            <a:endParaRPr lang="en-US"/>
          </a:p>
        </c:rich>
      </c:tx>
      <c:overlay val="0"/>
    </c:title>
    <c:autoTitleDeleted val="0"/>
    <c:plotArea>
      <c:layout>
        <c:manualLayout>
          <c:layoutTarget val="inner"/>
          <c:xMode val="edge"/>
          <c:yMode val="edge"/>
          <c:x val="5.1371200126149437E-2"/>
          <c:y val="0.20016703786191539"/>
          <c:w val="0.9313984954358705"/>
          <c:h val="0.58350096989726274"/>
        </c:manualLayout>
      </c:layout>
      <c:barChart>
        <c:barDir val="col"/>
        <c:grouping val="clustered"/>
        <c:varyColors val="0"/>
        <c:ser>
          <c:idx val="2"/>
          <c:order val="0"/>
          <c:tx>
            <c:strRef>
              <c:f>'270 Baseline RESULTS'!$V$3</c:f>
              <c:strCache>
                <c:ptCount val="1"/>
                <c:pt idx="0">
                  <c:v>% Sediment Reduction from 50 ' buffer</c:v>
                </c:pt>
              </c:strCache>
            </c:strRef>
          </c:tx>
          <c:spPr>
            <a:solidFill>
              <a:schemeClr val="accent1">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RESULTS'!$V$4:$V$33</c:f>
              <c:numCache>
                <c:formatCode>0.00</c:formatCode>
                <c:ptCount val="30"/>
                <c:pt idx="0">
                  <c:v>79.198404048786017</c:v>
                </c:pt>
                <c:pt idx="1">
                  <c:v>96.185319101688194</c:v>
                </c:pt>
                <c:pt idx="2">
                  <c:v>3.9473494674330158</c:v>
                </c:pt>
                <c:pt idx="3">
                  <c:v>79.198404048786017</c:v>
                </c:pt>
                <c:pt idx="4">
                  <c:v>30.101205342791257</c:v>
                </c:pt>
                <c:pt idx="5">
                  <c:v>100</c:v>
                </c:pt>
                <c:pt idx="6">
                  <c:v>51.678903679213533</c:v>
                </c:pt>
                <c:pt idx="7">
                  <c:v>51.678903679213533</c:v>
                </c:pt>
                <c:pt idx="8">
                  <c:v>30.101205342791257</c:v>
                </c:pt>
                <c:pt idx="9">
                  <c:v>30.101205342791257</c:v>
                </c:pt>
                <c:pt idx="10">
                  <c:v>100</c:v>
                </c:pt>
                <c:pt idx="11">
                  <c:v>51.678903679213533</c:v>
                </c:pt>
                <c:pt idx="12">
                  <c:v>79.198404048786017</c:v>
                </c:pt>
                <c:pt idx="13">
                  <c:v>79.198404048786017</c:v>
                </c:pt>
                <c:pt idx="14">
                  <c:v>79.198404048786017</c:v>
                </c:pt>
                <c:pt idx="15">
                  <c:v>3.9473494674330158</c:v>
                </c:pt>
                <c:pt idx="16">
                  <c:v>51.678903679213533</c:v>
                </c:pt>
                <c:pt idx="17">
                  <c:v>100</c:v>
                </c:pt>
                <c:pt idx="18">
                  <c:v>30.101205342791257</c:v>
                </c:pt>
                <c:pt idx="19">
                  <c:v>3.9473494674330158</c:v>
                </c:pt>
                <c:pt idx="20">
                  <c:v>3.9473494674330158</c:v>
                </c:pt>
                <c:pt idx="21">
                  <c:v>30.101205342791257</c:v>
                </c:pt>
                <c:pt idx="22">
                  <c:v>3.9473494674330158</c:v>
                </c:pt>
                <c:pt idx="23">
                  <c:v>96.185319101688194</c:v>
                </c:pt>
                <c:pt idx="24">
                  <c:v>96.185319101688194</c:v>
                </c:pt>
                <c:pt idx="25">
                  <c:v>79.198404048786017</c:v>
                </c:pt>
                <c:pt idx="26">
                  <c:v>79.198404048786017</c:v>
                </c:pt>
                <c:pt idx="27">
                  <c:v>96.185319101688194</c:v>
                </c:pt>
                <c:pt idx="28">
                  <c:v>51.678903679213533</c:v>
                </c:pt>
                <c:pt idx="29">
                  <c:v>79.198404048786017</c:v>
                </c:pt>
              </c:numCache>
            </c:numRef>
          </c:val>
          <c:extLst>
            <c:ext xmlns:c16="http://schemas.microsoft.com/office/drawing/2014/chart" uri="{C3380CC4-5D6E-409C-BE32-E72D297353CC}">
              <c16:uniqueId val="{00000000-9803-4F70-8776-E74338AD8886}"/>
            </c:ext>
          </c:extLst>
        </c:ser>
        <c:ser>
          <c:idx val="0"/>
          <c:order val="1"/>
          <c:tx>
            <c:strRef>
              <c:f>'270 Baseline RESULTS'!$N$3</c:f>
              <c:strCache>
                <c:ptCount val="1"/>
                <c:pt idx="0">
                  <c:v>% Sediment Reduction from 16.5 ' buffer</c:v>
                </c:pt>
              </c:strCache>
            </c:strRef>
          </c:tx>
          <c:spPr>
            <a:solidFill>
              <a:schemeClr val="accent3">
                <a:lumMod val="75000"/>
              </a:schemeClr>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RESULTS'!$N$4:$N$33</c:f>
              <c:numCache>
                <c:formatCode>0.00</c:formatCode>
                <c:ptCount val="30"/>
                <c:pt idx="0">
                  <c:v>41.439934288216072</c:v>
                </c:pt>
                <c:pt idx="1">
                  <c:v>76.941562989445956</c:v>
                </c:pt>
                <c:pt idx="2">
                  <c:v>1.3861322315256637</c:v>
                </c:pt>
                <c:pt idx="3">
                  <c:v>41.439934288216072</c:v>
                </c:pt>
                <c:pt idx="4">
                  <c:v>11.226806599727302</c:v>
                </c:pt>
                <c:pt idx="5">
                  <c:v>100</c:v>
                </c:pt>
                <c:pt idx="6">
                  <c:v>21.650305961250073</c:v>
                </c:pt>
                <c:pt idx="7">
                  <c:v>21.650305961250073</c:v>
                </c:pt>
                <c:pt idx="8">
                  <c:v>11.226806599727302</c:v>
                </c:pt>
                <c:pt idx="9">
                  <c:v>11.226806599727302</c:v>
                </c:pt>
                <c:pt idx="10">
                  <c:v>100</c:v>
                </c:pt>
                <c:pt idx="11">
                  <c:v>21.650305961250073</c:v>
                </c:pt>
                <c:pt idx="12">
                  <c:v>41.439934288216072</c:v>
                </c:pt>
                <c:pt idx="13">
                  <c:v>41.439934288216072</c:v>
                </c:pt>
                <c:pt idx="14">
                  <c:v>41.439934288216072</c:v>
                </c:pt>
                <c:pt idx="15">
                  <c:v>1.3861322315256637</c:v>
                </c:pt>
                <c:pt idx="16">
                  <c:v>21.650305961250073</c:v>
                </c:pt>
                <c:pt idx="17">
                  <c:v>100</c:v>
                </c:pt>
                <c:pt idx="18">
                  <c:v>11.226806599727302</c:v>
                </c:pt>
                <c:pt idx="19">
                  <c:v>1.3861322315256637</c:v>
                </c:pt>
                <c:pt idx="20">
                  <c:v>1.3861322315256637</c:v>
                </c:pt>
                <c:pt idx="21">
                  <c:v>11.226806599727302</c:v>
                </c:pt>
                <c:pt idx="22">
                  <c:v>1.3861322315256637</c:v>
                </c:pt>
                <c:pt idx="23">
                  <c:v>76.941562989445956</c:v>
                </c:pt>
                <c:pt idx="24">
                  <c:v>76.941562989445956</c:v>
                </c:pt>
                <c:pt idx="25">
                  <c:v>41.439934288216072</c:v>
                </c:pt>
                <c:pt idx="26">
                  <c:v>41.439934288216072</c:v>
                </c:pt>
                <c:pt idx="27">
                  <c:v>76.941562989445956</c:v>
                </c:pt>
                <c:pt idx="28">
                  <c:v>21.650305961250073</c:v>
                </c:pt>
                <c:pt idx="29">
                  <c:v>41.439934288216072</c:v>
                </c:pt>
              </c:numCache>
            </c:numRef>
          </c:val>
          <c:extLst>
            <c:ext xmlns:c16="http://schemas.microsoft.com/office/drawing/2014/chart" uri="{C3380CC4-5D6E-409C-BE32-E72D297353CC}">
              <c16:uniqueId val="{00000001-9803-4F70-8776-E74338AD8886}"/>
            </c:ext>
          </c:extLst>
        </c:ser>
        <c:dLbls>
          <c:showLegendKey val="0"/>
          <c:showVal val="0"/>
          <c:showCatName val="0"/>
          <c:showSerName val="0"/>
          <c:showPercent val="0"/>
          <c:showBubbleSize val="0"/>
        </c:dLbls>
        <c:gapWidth val="150"/>
        <c:axId val="853516288"/>
        <c:axId val="849222400"/>
      </c:barChart>
      <c:catAx>
        <c:axId val="853516288"/>
        <c:scaling>
          <c:orientation val="minMax"/>
        </c:scaling>
        <c:delete val="0"/>
        <c:axPos val="b"/>
        <c:numFmt formatCode="General" sourceLinked="0"/>
        <c:majorTickMark val="out"/>
        <c:minorTickMark val="none"/>
        <c:tickLblPos val="nextTo"/>
        <c:crossAx val="849222400"/>
        <c:crosses val="autoZero"/>
        <c:auto val="1"/>
        <c:lblAlgn val="ctr"/>
        <c:lblOffset val="100"/>
        <c:noMultiLvlLbl val="0"/>
      </c:catAx>
      <c:valAx>
        <c:axId val="849222400"/>
        <c:scaling>
          <c:orientation val="minMax"/>
          <c:max val="100"/>
        </c:scaling>
        <c:delete val="0"/>
        <c:axPos val="l"/>
        <c:majorGridlines/>
        <c:numFmt formatCode="0" sourceLinked="0"/>
        <c:majorTickMark val="out"/>
        <c:minorTickMark val="none"/>
        <c:tickLblPos val="nextTo"/>
        <c:crossAx val="853516288"/>
        <c:crosses val="autoZero"/>
        <c:crossBetween val="between"/>
      </c:valAx>
    </c:plotArea>
    <c:legend>
      <c:legendPos val="r"/>
      <c:layout>
        <c:manualLayout>
          <c:xMode val="edge"/>
          <c:yMode val="edge"/>
          <c:x val="0.3808087951270242"/>
          <c:y val="6.7164003824324248E-2"/>
          <c:w val="0.23686473530431337"/>
          <c:h val="0.11112535714877837"/>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Total Phosphorus Export</a:t>
            </a:r>
            <a:r>
              <a:rPr lang="en-US" sz="1400" baseline="0"/>
              <a:t> per Agroecoregion (lbs P/ac/yr)</a:t>
            </a:r>
          </a:p>
        </c:rich>
      </c:tx>
      <c:overlay val="0"/>
    </c:title>
    <c:autoTitleDeleted val="0"/>
    <c:plotArea>
      <c:layout>
        <c:manualLayout>
          <c:layoutTarget val="inner"/>
          <c:xMode val="edge"/>
          <c:yMode val="edge"/>
          <c:x val="3.7986991582572023E-2"/>
          <c:y val="0.25942377555236285"/>
          <c:w val="0.92855855522349673"/>
          <c:h val="0.51217319151313578"/>
        </c:manualLayout>
      </c:layout>
      <c:barChart>
        <c:barDir val="col"/>
        <c:grouping val="clustered"/>
        <c:varyColors val="0"/>
        <c:ser>
          <c:idx val="0"/>
          <c:order val="0"/>
          <c:tx>
            <c:v>Poor Management</c:v>
          </c:tx>
          <c:spPr>
            <a:solidFill>
              <a:srgbClr val="C0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RESULTS'!$C$4:$C$33</c:f>
              <c:numCache>
                <c:formatCode>General</c:formatCode>
                <c:ptCount val="30"/>
                <c:pt idx="0">
                  <c:v>0.84299999999999997</c:v>
                </c:pt>
                <c:pt idx="1">
                  <c:v>0.89800000000000002</c:v>
                </c:pt>
                <c:pt idx="2">
                  <c:v>7.141</c:v>
                </c:pt>
                <c:pt idx="3">
                  <c:v>0.98599999999999999</c:v>
                </c:pt>
                <c:pt idx="4">
                  <c:v>1.0009999999999999</c:v>
                </c:pt>
                <c:pt idx="5">
                  <c:v>1.107</c:v>
                </c:pt>
                <c:pt idx="6">
                  <c:v>0.69400000000000006</c:v>
                </c:pt>
                <c:pt idx="7">
                  <c:v>0.89700000000000002</c:v>
                </c:pt>
                <c:pt idx="8">
                  <c:v>0.84499999999999997</c:v>
                </c:pt>
                <c:pt idx="9">
                  <c:v>0.91700000000000004</c:v>
                </c:pt>
                <c:pt idx="10">
                  <c:v>0.38200000000000001</c:v>
                </c:pt>
                <c:pt idx="11">
                  <c:v>0.98299999999999998</c:v>
                </c:pt>
                <c:pt idx="12">
                  <c:v>0.61599999999999999</c:v>
                </c:pt>
                <c:pt idx="13">
                  <c:v>0.623</c:v>
                </c:pt>
                <c:pt idx="14">
                  <c:v>0.751</c:v>
                </c:pt>
                <c:pt idx="15">
                  <c:v>1.841</c:v>
                </c:pt>
                <c:pt idx="16">
                  <c:v>2.5179999999999998</c:v>
                </c:pt>
                <c:pt idx="17">
                  <c:v>0.39500000000000002</c:v>
                </c:pt>
                <c:pt idx="18">
                  <c:v>1.0779999999999998</c:v>
                </c:pt>
                <c:pt idx="19">
                  <c:v>0.8</c:v>
                </c:pt>
                <c:pt idx="20">
                  <c:v>2.1559999999999997</c:v>
                </c:pt>
                <c:pt idx="21">
                  <c:v>2.431</c:v>
                </c:pt>
                <c:pt idx="22">
                  <c:v>3.4850000000000003</c:v>
                </c:pt>
                <c:pt idx="23">
                  <c:v>1.032</c:v>
                </c:pt>
                <c:pt idx="24">
                  <c:v>0.57800000000000007</c:v>
                </c:pt>
                <c:pt idx="25">
                  <c:v>0.73699999999999999</c:v>
                </c:pt>
                <c:pt idx="26">
                  <c:v>1.119</c:v>
                </c:pt>
                <c:pt idx="27">
                  <c:v>0.68499999999999994</c:v>
                </c:pt>
                <c:pt idx="28">
                  <c:v>1.115</c:v>
                </c:pt>
                <c:pt idx="29">
                  <c:v>0.95099999999999996</c:v>
                </c:pt>
              </c:numCache>
            </c:numRef>
          </c:val>
          <c:extLst>
            <c:ext xmlns:c16="http://schemas.microsoft.com/office/drawing/2014/chart" uri="{C3380CC4-5D6E-409C-BE32-E72D297353CC}">
              <c16:uniqueId val="{00000000-C110-43B4-9CE5-97349D5103CC}"/>
            </c:ext>
          </c:extLst>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RESULTS'!$E$4:$E$33</c:f>
              <c:numCache>
                <c:formatCode>General</c:formatCode>
                <c:ptCount val="30"/>
                <c:pt idx="0">
                  <c:v>0.45099999999999996</c:v>
                </c:pt>
                <c:pt idx="1">
                  <c:v>0.63100000000000001</c:v>
                </c:pt>
                <c:pt idx="2">
                  <c:v>5.1070000000000002</c:v>
                </c:pt>
                <c:pt idx="3">
                  <c:v>0.58399999999999996</c:v>
                </c:pt>
                <c:pt idx="4">
                  <c:v>0.61599999999999999</c:v>
                </c:pt>
                <c:pt idx="5">
                  <c:v>0.54299999999999993</c:v>
                </c:pt>
                <c:pt idx="6">
                  <c:v>0.39600000000000002</c:v>
                </c:pt>
                <c:pt idx="7">
                  <c:v>0.51400000000000001</c:v>
                </c:pt>
                <c:pt idx="8">
                  <c:v>0.47199999999999998</c:v>
                </c:pt>
                <c:pt idx="9">
                  <c:v>0.54900000000000004</c:v>
                </c:pt>
                <c:pt idx="10">
                  <c:v>0.16999999999999998</c:v>
                </c:pt>
                <c:pt idx="11">
                  <c:v>0.52800000000000002</c:v>
                </c:pt>
                <c:pt idx="12">
                  <c:v>0.29700000000000004</c:v>
                </c:pt>
                <c:pt idx="13">
                  <c:v>0.437</c:v>
                </c:pt>
                <c:pt idx="14">
                  <c:v>0.33199999999999996</c:v>
                </c:pt>
                <c:pt idx="15">
                  <c:v>1.1519999999999999</c:v>
                </c:pt>
                <c:pt idx="16">
                  <c:v>1.7</c:v>
                </c:pt>
                <c:pt idx="17">
                  <c:v>0.13400000000000001</c:v>
                </c:pt>
                <c:pt idx="18">
                  <c:v>0.65900000000000003</c:v>
                </c:pt>
                <c:pt idx="19">
                  <c:v>0.434</c:v>
                </c:pt>
                <c:pt idx="20">
                  <c:v>1.3439999999999999</c:v>
                </c:pt>
                <c:pt idx="21">
                  <c:v>1.659</c:v>
                </c:pt>
                <c:pt idx="22">
                  <c:v>2.3780000000000001</c:v>
                </c:pt>
                <c:pt idx="23">
                  <c:v>0.57800000000000007</c:v>
                </c:pt>
                <c:pt idx="24">
                  <c:v>0.312</c:v>
                </c:pt>
                <c:pt idx="25">
                  <c:v>0.23599999999999999</c:v>
                </c:pt>
                <c:pt idx="26">
                  <c:v>0.63200000000000001</c:v>
                </c:pt>
                <c:pt idx="27">
                  <c:v>0.23900000000000002</c:v>
                </c:pt>
                <c:pt idx="28">
                  <c:v>0.65800000000000003</c:v>
                </c:pt>
                <c:pt idx="29">
                  <c:v>0.51800000000000002</c:v>
                </c:pt>
              </c:numCache>
            </c:numRef>
          </c:val>
          <c:extLst>
            <c:ext xmlns:c16="http://schemas.microsoft.com/office/drawing/2014/chart" uri="{C3380CC4-5D6E-409C-BE32-E72D297353CC}">
              <c16:uniqueId val="{00000001-C110-43B4-9CE5-97349D5103CC}"/>
            </c:ext>
          </c:extLst>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RESULTS'!$G$4:$G$33</c:f>
              <c:numCache>
                <c:formatCode>General</c:formatCode>
                <c:ptCount val="30"/>
                <c:pt idx="0">
                  <c:v>0.43899999999999995</c:v>
                </c:pt>
                <c:pt idx="1">
                  <c:v>0.65700000000000003</c:v>
                </c:pt>
                <c:pt idx="2">
                  <c:v>5.0540000000000003</c:v>
                </c:pt>
                <c:pt idx="3">
                  <c:v>0.57699999999999996</c:v>
                </c:pt>
                <c:pt idx="4">
                  <c:v>0.6</c:v>
                </c:pt>
                <c:pt idx="5">
                  <c:v>0.48299999999999998</c:v>
                </c:pt>
                <c:pt idx="6">
                  <c:v>0.38500000000000001</c:v>
                </c:pt>
                <c:pt idx="7">
                  <c:v>0.503</c:v>
                </c:pt>
                <c:pt idx="8">
                  <c:v>0.47699999999999998</c:v>
                </c:pt>
                <c:pt idx="9">
                  <c:v>0.53800000000000003</c:v>
                </c:pt>
                <c:pt idx="10">
                  <c:v>0.185</c:v>
                </c:pt>
                <c:pt idx="11">
                  <c:v>0.496</c:v>
                </c:pt>
                <c:pt idx="12">
                  <c:v>0.30399999999999999</c:v>
                </c:pt>
                <c:pt idx="13">
                  <c:v>0.45</c:v>
                </c:pt>
                <c:pt idx="14">
                  <c:v>0.309</c:v>
                </c:pt>
                <c:pt idx="15">
                  <c:v>1.1179999999999999</c:v>
                </c:pt>
                <c:pt idx="16">
                  <c:v>1.69</c:v>
                </c:pt>
                <c:pt idx="17">
                  <c:v>0.126</c:v>
                </c:pt>
                <c:pt idx="18">
                  <c:v>0.65700000000000003</c:v>
                </c:pt>
                <c:pt idx="19">
                  <c:v>0.41</c:v>
                </c:pt>
                <c:pt idx="20">
                  <c:v>1.2689999999999999</c:v>
                </c:pt>
                <c:pt idx="21">
                  <c:v>1.6440000000000001</c:v>
                </c:pt>
                <c:pt idx="22">
                  <c:v>2.3289999999999997</c:v>
                </c:pt>
                <c:pt idx="23">
                  <c:v>0.55899999999999994</c:v>
                </c:pt>
                <c:pt idx="24">
                  <c:v>0.3</c:v>
                </c:pt>
                <c:pt idx="25">
                  <c:v>0.19500000000000001</c:v>
                </c:pt>
                <c:pt idx="26">
                  <c:v>0.60199999999999998</c:v>
                </c:pt>
                <c:pt idx="27">
                  <c:v>0.20400000000000001</c:v>
                </c:pt>
                <c:pt idx="28">
                  <c:v>0.63200000000000001</c:v>
                </c:pt>
                <c:pt idx="29">
                  <c:v>0.496</c:v>
                </c:pt>
              </c:numCache>
            </c:numRef>
          </c:val>
          <c:extLst>
            <c:ext xmlns:c16="http://schemas.microsoft.com/office/drawing/2014/chart" uri="{C3380CC4-5D6E-409C-BE32-E72D297353CC}">
              <c16:uniqueId val="{00000002-C110-43B4-9CE5-97349D5103CC}"/>
            </c:ext>
          </c:extLst>
        </c:ser>
        <c:dLbls>
          <c:showLegendKey val="0"/>
          <c:showVal val="0"/>
          <c:showCatName val="0"/>
          <c:showSerName val="0"/>
          <c:showPercent val="0"/>
          <c:showBubbleSize val="0"/>
        </c:dLbls>
        <c:gapWidth val="150"/>
        <c:axId val="853758976"/>
        <c:axId val="849306752"/>
      </c:barChart>
      <c:catAx>
        <c:axId val="853758976"/>
        <c:scaling>
          <c:orientation val="minMax"/>
        </c:scaling>
        <c:delete val="0"/>
        <c:axPos val="b"/>
        <c:numFmt formatCode="General" sourceLinked="0"/>
        <c:majorTickMark val="out"/>
        <c:minorTickMark val="none"/>
        <c:tickLblPos val="nextTo"/>
        <c:crossAx val="849306752"/>
        <c:crosses val="autoZero"/>
        <c:auto val="1"/>
        <c:lblAlgn val="ctr"/>
        <c:lblOffset val="100"/>
        <c:noMultiLvlLbl val="0"/>
      </c:catAx>
      <c:valAx>
        <c:axId val="849306752"/>
        <c:scaling>
          <c:orientation val="minMax"/>
        </c:scaling>
        <c:delete val="0"/>
        <c:axPos val="l"/>
        <c:majorGridlines/>
        <c:numFmt formatCode="General" sourceLinked="1"/>
        <c:majorTickMark val="out"/>
        <c:minorTickMark val="none"/>
        <c:tickLblPos val="nextTo"/>
        <c:crossAx val="853758976"/>
        <c:crosses val="autoZero"/>
        <c:crossBetween val="between"/>
      </c:valAx>
    </c:plotArea>
    <c:legend>
      <c:legendPos val="r"/>
      <c:layout>
        <c:manualLayout>
          <c:xMode val="edge"/>
          <c:yMode val="edge"/>
          <c:x val="0.27946607306126692"/>
          <c:y val="5.6958223003316967E-2"/>
          <c:w val="0.4153430278730128"/>
          <c:h val="0.1239435045940280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Total Sediment Export</a:t>
            </a:r>
            <a:r>
              <a:rPr lang="en-US" sz="1400" baseline="0"/>
              <a:t> per Agroecoregion (t/ac/yr)</a:t>
            </a:r>
          </a:p>
        </c:rich>
      </c:tx>
      <c:overlay val="0"/>
    </c:title>
    <c:autoTitleDeleted val="0"/>
    <c:plotArea>
      <c:layout>
        <c:manualLayout>
          <c:layoutTarget val="inner"/>
          <c:xMode val="edge"/>
          <c:yMode val="edge"/>
          <c:x val="3.7986991582572023E-2"/>
          <c:y val="0.25942377555236285"/>
          <c:w val="0.9385616119915241"/>
          <c:h val="0.51217319151313578"/>
        </c:manualLayout>
      </c:layout>
      <c:barChart>
        <c:barDir val="col"/>
        <c:grouping val="clustered"/>
        <c:varyColors val="0"/>
        <c:ser>
          <c:idx val="0"/>
          <c:order val="0"/>
          <c:tx>
            <c:v>Poor Management</c:v>
          </c:tx>
          <c:spPr>
            <a:solidFill>
              <a:srgbClr val="C0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RESULTS'!$B$4:$B$33</c:f>
              <c:numCache>
                <c:formatCode>0.00</c:formatCode>
                <c:ptCount val="30"/>
                <c:pt idx="0">
                  <c:v>2.3216250557950877</c:v>
                </c:pt>
                <c:pt idx="1">
                  <c:v>4.6168892442124712</c:v>
                </c:pt>
                <c:pt idx="2">
                  <c:v>83.668249224423491</c:v>
                </c:pt>
                <c:pt idx="3">
                  <c:v>4.3049020286303765</c:v>
                </c:pt>
                <c:pt idx="4">
                  <c:v>9.3816830140840519</c:v>
                </c:pt>
                <c:pt idx="5">
                  <c:v>2.5805381408189083</c:v>
                </c:pt>
                <c:pt idx="6">
                  <c:v>5.4453685107067944</c:v>
                </c:pt>
                <c:pt idx="7">
                  <c:v>5.8829573079627666</c:v>
                </c:pt>
                <c:pt idx="8">
                  <c:v>4.585961134098115</c:v>
                </c:pt>
                <c:pt idx="9">
                  <c:v>8.5021079033990983</c:v>
                </c:pt>
                <c:pt idx="10">
                  <c:v>1.2347843910974303</c:v>
                </c:pt>
                <c:pt idx="11">
                  <c:v>6.5577265078627072</c:v>
                </c:pt>
                <c:pt idx="12">
                  <c:v>2.1005395243899505</c:v>
                </c:pt>
                <c:pt idx="13">
                  <c:v>6.6632150657730485</c:v>
                </c:pt>
                <c:pt idx="14">
                  <c:v>3.0037559179361843</c:v>
                </c:pt>
                <c:pt idx="15">
                  <c:v>17.543725422915319</c:v>
                </c:pt>
                <c:pt idx="16">
                  <c:v>19.009705346657594</c:v>
                </c:pt>
                <c:pt idx="17">
                  <c:v>0.30383922534467556</c:v>
                </c:pt>
                <c:pt idx="18">
                  <c:v>6.0007721097641387</c:v>
                </c:pt>
                <c:pt idx="19">
                  <c:v>5.0459163142951384</c:v>
                </c:pt>
                <c:pt idx="20">
                  <c:v>18.404622578946785</c:v>
                </c:pt>
                <c:pt idx="21">
                  <c:v>17.760281745417767</c:v>
                </c:pt>
                <c:pt idx="22">
                  <c:v>38.079705607546721</c:v>
                </c:pt>
                <c:pt idx="23">
                  <c:v>6.5433621818154624</c:v>
                </c:pt>
                <c:pt idx="24">
                  <c:v>3.9927070673270189</c:v>
                </c:pt>
                <c:pt idx="25">
                  <c:v>1.3665379649997009</c:v>
                </c:pt>
                <c:pt idx="26">
                  <c:v>8.1030915438612769</c:v>
                </c:pt>
                <c:pt idx="27">
                  <c:v>1.1921656831162284</c:v>
                </c:pt>
                <c:pt idx="28">
                  <c:v>7.9931399787021871</c:v>
                </c:pt>
                <c:pt idx="29">
                  <c:v>5.4466617098251344</c:v>
                </c:pt>
              </c:numCache>
            </c:numRef>
          </c:val>
          <c:extLst>
            <c:ext xmlns:c16="http://schemas.microsoft.com/office/drawing/2014/chart" uri="{C3380CC4-5D6E-409C-BE32-E72D297353CC}">
              <c16:uniqueId val="{00000000-C93F-42BE-A57C-396A254FC941}"/>
            </c:ext>
          </c:extLst>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RESULTS'!$D$4:$D$33</c:f>
              <c:numCache>
                <c:formatCode>General</c:formatCode>
                <c:ptCount val="30"/>
                <c:pt idx="0">
                  <c:v>2.08</c:v>
                </c:pt>
                <c:pt idx="1">
                  <c:v>4.1399999999999997</c:v>
                </c:pt>
                <c:pt idx="2">
                  <c:v>68.47</c:v>
                </c:pt>
                <c:pt idx="3">
                  <c:v>4.05</c:v>
                </c:pt>
                <c:pt idx="4">
                  <c:v>7.03</c:v>
                </c:pt>
                <c:pt idx="5">
                  <c:v>2.4300000000000002</c:v>
                </c:pt>
                <c:pt idx="6">
                  <c:v>4.21</c:v>
                </c:pt>
                <c:pt idx="7">
                  <c:v>5.01</c:v>
                </c:pt>
                <c:pt idx="8">
                  <c:v>4.3899999999999997</c:v>
                </c:pt>
                <c:pt idx="9">
                  <c:v>6.16</c:v>
                </c:pt>
                <c:pt idx="10">
                  <c:v>1.23</c:v>
                </c:pt>
                <c:pt idx="11">
                  <c:v>5.24</c:v>
                </c:pt>
                <c:pt idx="12">
                  <c:v>2.08</c:v>
                </c:pt>
                <c:pt idx="13">
                  <c:v>5.0199999999999996</c:v>
                </c:pt>
                <c:pt idx="14">
                  <c:v>2.84</c:v>
                </c:pt>
                <c:pt idx="15">
                  <c:v>14.37</c:v>
                </c:pt>
                <c:pt idx="16">
                  <c:v>16.21</c:v>
                </c:pt>
                <c:pt idx="17">
                  <c:v>0.3</c:v>
                </c:pt>
                <c:pt idx="18">
                  <c:v>5.62</c:v>
                </c:pt>
                <c:pt idx="19">
                  <c:v>4.18</c:v>
                </c:pt>
                <c:pt idx="20">
                  <c:v>15.14</c:v>
                </c:pt>
                <c:pt idx="21">
                  <c:v>14.88</c:v>
                </c:pt>
                <c:pt idx="22">
                  <c:v>31.13</c:v>
                </c:pt>
                <c:pt idx="23">
                  <c:v>5.65</c:v>
                </c:pt>
                <c:pt idx="24">
                  <c:v>3.2</c:v>
                </c:pt>
                <c:pt idx="25">
                  <c:v>1.36</c:v>
                </c:pt>
                <c:pt idx="26">
                  <c:v>6.48</c:v>
                </c:pt>
                <c:pt idx="27">
                  <c:v>1.18</c:v>
                </c:pt>
                <c:pt idx="28">
                  <c:v>6.38</c:v>
                </c:pt>
                <c:pt idx="29">
                  <c:v>4.58</c:v>
                </c:pt>
              </c:numCache>
            </c:numRef>
          </c:val>
          <c:extLst>
            <c:ext xmlns:c16="http://schemas.microsoft.com/office/drawing/2014/chart" uri="{C3380CC4-5D6E-409C-BE32-E72D297353CC}">
              <c16:uniqueId val="{00000001-C93F-42BE-A57C-396A254FC941}"/>
            </c:ext>
          </c:extLst>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RESULTS'!$F$4:$F$33</c:f>
              <c:numCache>
                <c:formatCode>0.00</c:formatCode>
                <c:ptCount val="30"/>
                <c:pt idx="0">
                  <c:v>1.4034076578721861</c:v>
                </c:pt>
                <c:pt idx="1">
                  <c:v>2.6312275414955963</c:v>
                </c:pt>
                <c:pt idx="2">
                  <c:v>54.938114792946536</c:v>
                </c:pt>
                <c:pt idx="3">
                  <c:v>2.8020044995700402</c:v>
                </c:pt>
                <c:pt idx="4">
                  <c:v>5.1079674848032308</c:v>
                </c:pt>
                <c:pt idx="5">
                  <c:v>1.5948022294521682</c:v>
                </c:pt>
                <c:pt idx="6">
                  <c:v>2.9470439499504772</c:v>
                </c:pt>
                <c:pt idx="7">
                  <c:v>3.3771206563155802</c:v>
                </c:pt>
                <c:pt idx="8">
                  <c:v>3.643883915453396</c:v>
                </c:pt>
                <c:pt idx="9">
                  <c:v>4.5662405837813997</c:v>
                </c:pt>
                <c:pt idx="10">
                  <c:v>1.1979283583795115</c:v>
                </c:pt>
                <c:pt idx="11">
                  <c:v>3.5188055510556269</c:v>
                </c:pt>
                <c:pt idx="12">
                  <c:v>1.9462383465080284</c:v>
                </c:pt>
                <c:pt idx="13">
                  <c:v>3.5451155362553388</c:v>
                </c:pt>
                <c:pt idx="14">
                  <c:v>2.4157818096194306</c:v>
                </c:pt>
                <c:pt idx="15">
                  <c:v>11.076337433770142</c:v>
                </c:pt>
                <c:pt idx="16">
                  <c:v>10.321275088122992</c:v>
                </c:pt>
                <c:pt idx="17">
                  <c:v>0.27357280492596653</c:v>
                </c:pt>
                <c:pt idx="18">
                  <c:v>3.7877295398443711</c:v>
                </c:pt>
                <c:pt idx="19">
                  <c:v>2.6871532998901664</c:v>
                </c:pt>
                <c:pt idx="20">
                  <c:v>10.36019254618888</c:v>
                </c:pt>
                <c:pt idx="21">
                  <c:v>9.5380645926710006</c:v>
                </c:pt>
                <c:pt idx="22">
                  <c:v>24.61431470359264</c:v>
                </c:pt>
                <c:pt idx="23">
                  <c:v>3.9850672513518863</c:v>
                </c:pt>
                <c:pt idx="24">
                  <c:v>2.2175741126184962</c:v>
                </c:pt>
                <c:pt idx="25">
                  <c:v>1.3137527882181352</c:v>
                </c:pt>
                <c:pt idx="26">
                  <c:v>4.5284275486096881</c:v>
                </c:pt>
                <c:pt idx="27">
                  <c:v>1.1179206781790507</c:v>
                </c:pt>
                <c:pt idx="28">
                  <c:v>4.3092485099152746</c:v>
                </c:pt>
                <c:pt idx="29">
                  <c:v>2.934706184963682</c:v>
                </c:pt>
              </c:numCache>
            </c:numRef>
          </c:val>
          <c:extLst>
            <c:ext xmlns:c16="http://schemas.microsoft.com/office/drawing/2014/chart" uri="{C3380CC4-5D6E-409C-BE32-E72D297353CC}">
              <c16:uniqueId val="{00000002-C93F-42BE-A57C-396A254FC941}"/>
            </c:ext>
          </c:extLst>
        </c:ser>
        <c:dLbls>
          <c:showLegendKey val="0"/>
          <c:showVal val="0"/>
          <c:showCatName val="0"/>
          <c:showSerName val="0"/>
          <c:showPercent val="0"/>
          <c:showBubbleSize val="0"/>
        </c:dLbls>
        <c:gapWidth val="150"/>
        <c:axId val="853760000"/>
        <c:axId val="849309056"/>
      </c:barChart>
      <c:catAx>
        <c:axId val="853760000"/>
        <c:scaling>
          <c:orientation val="minMax"/>
        </c:scaling>
        <c:delete val="0"/>
        <c:axPos val="b"/>
        <c:numFmt formatCode="General" sourceLinked="0"/>
        <c:majorTickMark val="out"/>
        <c:minorTickMark val="none"/>
        <c:tickLblPos val="nextTo"/>
        <c:txPr>
          <a:bodyPr/>
          <a:lstStyle/>
          <a:p>
            <a:pPr>
              <a:defRPr sz="1100"/>
            </a:pPr>
            <a:endParaRPr lang="en-US"/>
          </a:p>
        </c:txPr>
        <c:crossAx val="849309056"/>
        <c:crosses val="autoZero"/>
        <c:auto val="1"/>
        <c:lblAlgn val="ctr"/>
        <c:lblOffset val="100"/>
        <c:noMultiLvlLbl val="0"/>
      </c:catAx>
      <c:valAx>
        <c:axId val="849309056"/>
        <c:scaling>
          <c:orientation val="minMax"/>
        </c:scaling>
        <c:delete val="0"/>
        <c:axPos val="l"/>
        <c:majorGridlines/>
        <c:numFmt formatCode="0.00" sourceLinked="1"/>
        <c:majorTickMark val="out"/>
        <c:minorTickMark val="none"/>
        <c:tickLblPos val="nextTo"/>
        <c:txPr>
          <a:bodyPr/>
          <a:lstStyle/>
          <a:p>
            <a:pPr>
              <a:defRPr sz="1000"/>
            </a:pPr>
            <a:endParaRPr lang="en-US"/>
          </a:p>
        </c:txPr>
        <c:crossAx val="853760000"/>
        <c:crosses val="autoZero"/>
        <c:crossBetween val="between"/>
      </c:valAx>
    </c:plotArea>
    <c:legend>
      <c:legendPos val="r"/>
      <c:layout>
        <c:manualLayout>
          <c:xMode val="edge"/>
          <c:yMode val="edge"/>
          <c:x val="0.27946607306126692"/>
          <c:y val="5.6958223003316967E-2"/>
          <c:w val="0.4153430278730128"/>
          <c:h val="0.12394350459402806"/>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Sediment Export</a:t>
            </a:r>
            <a:r>
              <a:rPr lang="en-US" baseline="0"/>
              <a:t> Reductions of a 16.5' Buffer (t/ac/yr)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Mgmt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RESULTS'!$X$4:$X$33</c:f>
              <c:numCache>
                <c:formatCode>0.00</c:formatCode>
                <c:ptCount val="30"/>
                <c:pt idx="0">
                  <c:v>0.96207989754024403</c:v>
                </c:pt>
                <c:pt idx="1">
                  <c:v>3.5523067459886937</c:v>
                </c:pt>
                <c:pt idx="2">
                  <c:v>1.1597525700529587</c:v>
                </c:pt>
                <c:pt idx="3">
                  <c:v>1.7839485718365089</c:v>
                </c:pt>
                <c:pt idx="4">
                  <c:v>1.0532634077906842</c:v>
                </c:pt>
                <c:pt idx="5">
                  <c:v>2.5805381408189083</c:v>
                </c:pt>
                <c:pt idx="6">
                  <c:v>1.178938943285587</c:v>
                </c:pt>
                <c:pt idx="7">
                  <c:v>1.2736782567436595</c:v>
                </c:pt>
                <c:pt idx="8">
                  <c:v>0.51485698726385642</c:v>
                </c:pt>
                <c:pt idx="9">
                  <c:v>0.95451521121474681</c:v>
                </c:pt>
                <c:pt idx="10">
                  <c:v>1.2347843910974303</c:v>
                </c:pt>
                <c:pt idx="11">
                  <c:v>1.4197678530542754</c:v>
                </c:pt>
                <c:pt idx="12">
                  <c:v>0.87046219860520191</c:v>
                </c:pt>
                <c:pt idx="13">
                  <c:v>2.7612319447388649</c:v>
                </c:pt>
                <c:pt idx="14">
                  <c:v>1.2447544785711564</c:v>
                </c:pt>
                <c:pt idx="15">
                  <c:v>0.24317923269738984</c:v>
                </c:pt>
                <c:pt idx="16">
                  <c:v>4.1156593698834829</c:v>
                </c:pt>
                <c:pt idx="17">
                  <c:v>0.30383922534467556</c:v>
                </c:pt>
                <c:pt idx="18">
                  <c:v>0.67369507925359517</c:v>
                </c:pt>
                <c:pt idx="19">
                  <c:v>6.994307240825659E-2</c:v>
                </c:pt>
                <c:pt idx="20">
                  <c:v>0.25511240565743165</c:v>
                </c:pt>
                <c:pt idx="21">
                  <c:v>1.9939124831247259</c:v>
                </c:pt>
                <c:pt idx="22">
                  <c:v>0.5278350730962913</c:v>
                </c:pt>
                <c:pt idx="23">
                  <c:v>5.0345651347491289</c:v>
                </c:pt>
                <c:pt idx="24">
                  <c:v>3.0720512231914787</c:v>
                </c:pt>
                <c:pt idx="25">
                  <c:v>0.56629243471940127</c:v>
                </c:pt>
                <c:pt idx="26">
                  <c:v>3.3579158110901064</c:v>
                </c:pt>
                <c:pt idx="27">
                  <c:v>0.91727091001343153</c:v>
                </c:pt>
                <c:pt idx="28">
                  <c:v>1.7305392613000219</c:v>
                </c:pt>
                <c:pt idx="29">
                  <c:v>2.2570930334529615</c:v>
                </c:pt>
              </c:numCache>
            </c:numRef>
          </c:val>
          <c:extLst>
            <c:ext xmlns:c16="http://schemas.microsoft.com/office/drawing/2014/chart" uri="{C3380CC4-5D6E-409C-BE32-E72D297353CC}">
              <c16:uniqueId val="{00000000-9768-4FB5-B6FF-AA4C52B34A48}"/>
            </c:ext>
          </c:extLst>
        </c:ser>
        <c:ser>
          <c:idx val="1"/>
          <c:order val="1"/>
          <c:tx>
            <c:v>Avg Mgmt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RESULTS'!$Z$4:$Z$33</c:f>
              <c:numCache>
                <c:formatCode>0.00</c:formatCode>
                <c:ptCount val="30"/>
                <c:pt idx="0">
                  <c:v>0.86195063319489429</c:v>
                </c:pt>
                <c:pt idx="1">
                  <c:v>3.1853807077630623</c:v>
                </c:pt>
                <c:pt idx="2">
                  <c:v>0.94908473892562029</c:v>
                </c:pt>
                <c:pt idx="3">
                  <c:v>1.678317338672751</c:v>
                </c:pt>
                <c:pt idx="4">
                  <c:v>0.78924450396082957</c:v>
                </c:pt>
                <c:pt idx="5">
                  <c:v>2.4300000000000002</c:v>
                </c:pt>
                <c:pt idx="6">
                  <c:v>0.91147788096862792</c:v>
                </c:pt>
                <c:pt idx="7">
                  <c:v>1.0846803286586284</c:v>
                </c:pt>
                <c:pt idx="8">
                  <c:v>0.49285680972802837</c:v>
                </c:pt>
                <c:pt idx="9">
                  <c:v>0.69157128654320221</c:v>
                </c:pt>
                <c:pt idx="10">
                  <c:v>1.23</c:v>
                </c:pt>
                <c:pt idx="11">
                  <c:v>1.1344760323695038</c:v>
                </c:pt>
                <c:pt idx="12">
                  <c:v>0.86195063319489429</c:v>
                </c:pt>
                <c:pt idx="13">
                  <c:v>2.0802847012684467</c:v>
                </c:pt>
                <c:pt idx="14">
                  <c:v>1.1768941337853365</c:v>
                </c:pt>
                <c:pt idx="15">
                  <c:v>0.19918720167023807</c:v>
                </c:pt>
                <c:pt idx="16">
                  <c:v>3.5095145963186365</c:v>
                </c:pt>
                <c:pt idx="17">
                  <c:v>0.3</c:v>
                </c:pt>
                <c:pt idx="18">
                  <c:v>0.63094653090467467</c:v>
                </c:pt>
                <c:pt idx="19">
                  <c:v>5.7940327277772319E-2</c:v>
                </c:pt>
                <c:pt idx="20">
                  <c:v>0.2098604198529852</c:v>
                </c:pt>
                <c:pt idx="21">
                  <c:v>1.6705488220394233</c:v>
                </c:pt>
                <c:pt idx="22">
                  <c:v>0.43150296367393892</c:v>
                </c:pt>
                <c:pt idx="23">
                  <c:v>4.347198308903697</c:v>
                </c:pt>
                <c:pt idx="24">
                  <c:v>2.4621300156622707</c:v>
                </c:pt>
                <c:pt idx="25">
                  <c:v>0.56358310631973862</c:v>
                </c:pt>
                <c:pt idx="26">
                  <c:v>2.6853077418764015</c:v>
                </c:pt>
                <c:pt idx="27">
                  <c:v>0.90791044327546222</c:v>
                </c:pt>
                <c:pt idx="28">
                  <c:v>1.3812895203277549</c:v>
                </c:pt>
                <c:pt idx="29">
                  <c:v>1.8979489904002964</c:v>
                </c:pt>
              </c:numCache>
            </c:numRef>
          </c:val>
          <c:extLst>
            <c:ext xmlns:c16="http://schemas.microsoft.com/office/drawing/2014/chart" uri="{C3380CC4-5D6E-409C-BE32-E72D297353CC}">
              <c16:uniqueId val="{00000001-9768-4FB5-B6FF-AA4C52B34A48}"/>
            </c:ext>
          </c:extLst>
        </c:ser>
        <c:ser>
          <c:idx val="2"/>
          <c:order val="2"/>
          <c:tx>
            <c:v>Best Mgmt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RESULTS'!$AB$4:$AB$33</c:f>
              <c:numCache>
                <c:formatCode>0.00</c:formatCode>
                <c:ptCount val="30"/>
                <c:pt idx="0">
                  <c:v>0.58157121121802624</c:v>
                </c:pt>
                <c:pt idx="1">
                  <c:v>2.0245075962354844</c:v>
                </c:pt>
                <c:pt idx="2">
                  <c:v>0.76151491653759962</c:v>
                </c:pt>
                <c:pt idx="3">
                  <c:v>1.1611488233746823</c:v>
                </c:pt>
                <c:pt idx="4">
                  <c:v>0.5734616306958138</c:v>
                </c:pt>
                <c:pt idx="5">
                  <c:v>1.5948022294521682</c:v>
                </c:pt>
                <c:pt idx="6">
                  <c:v>0.63804403197678772</c:v>
                </c:pt>
                <c:pt idx="7">
                  <c:v>0.73115695477289977</c:v>
                </c:pt>
                <c:pt idx="8">
                  <c:v>0.40909179990652333</c:v>
                </c:pt>
                <c:pt idx="9">
                  <c:v>0.5126429992193966</c:v>
                </c:pt>
                <c:pt idx="10">
                  <c:v>1.1979283583795115</c:v>
                </c:pt>
                <c:pt idx="11">
                  <c:v>0.76183216798499487</c:v>
                </c:pt>
                <c:pt idx="12">
                  <c:v>0.80651989188499007</c:v>
                </c:pt>
                <c:pt idx="13">
                  <c:v>1.4690935486655512</c:v>
                </c:pt>
                <c:pt idx="14">
                  <c:v>1.0010983944529692</c:v>
                </c:pt>
                <c:pt idx="15">
                  <c:v>0.15353268324203029</c:v>
                </c:pt>
                <c:pt idx="16">
                  <c:v>2.23458763568091</c:v>
                </c:pt>
                <c:pt idx="17">
                  <c:v>0.27357280492596653</c:v>
                </c:pt>
                <c:pt idx="18">
                  <c:v>0.42524106995906852</c:v>
                </c:pt>
                <c:pt idx="19">
                  <c:v>3.7247498000283041E-2</c:v>
                </c:pt>
                <c:pt idx="20">
                  <c:v>0.14360596813084392</c:v>
                </c:pt>
                <c:pt idx="21">
                  <c:v>1.0708200651762407</c:v>
                </c:pt>
                <c:pt idx="22">
                  <c:v>0.34118694967565588</c:v>
                </c:pt>
                <c:pt idx="23">
                  <c:v>3.0661730293706944</c:v>
                </c:pt>
                <c:pt idx="24">
                  <c:v>1.7062361826980075</c:v>
                </c:pt>
                <c:pt idx="25">
                  <c:v>0.54441829214720172</c:v>
                </c:pt>
                <c:pt idx="26">
                  <c:v>1.8765774004333289</c:v>
                </c:pt>
                <c:pt idx="27">
                  <c:v>0.86014564277317573</c:v>
                </c:pt>
                <c:pt idx="28">
                  <c:v>0.93296548702726678</c:v>
                </c:pt>
                <c:pt idx="29">
                  <c:v>1.2161403146011627</c:v>
                </c:pt>
              </c:numCache>
            </c:numRef>
          </c:val>
          <c:extLst>
            <c:ext xmlns:c16="http://schemas.microsoft.com/office/drawing/2014/chart" uri="{C3380CC4-5D6E-409C-BE32-E72D297353CC}">
              <c16:uniqueId val="{00000002-9768-4FB5-B6FF-AA4C52B34A48}"/>
            </c:ext>
          </c:extLst>
        </c:ser>
        <c:dLbls>
          <c:showLegendKey val="0"/>
          <c:showVal val="0"/>
          <c:showCatName val="0"/>
          <c:showSerName val="0"/>
          <c:showPercent val="0"/>
          <c:showBubbleSize val="0"/>
        </c:dLbls>
        <c:gapWidth val="150"/>
        <c:axId val="853761024"/>
        <c:axId val="849311360"/>
      </c:barChart>
      <c:catAx>
        <c:axId val="853761024"/>
        <c:scaling>
          <c:orientation val="minMax"/>
        </c:scaling>
        <c:delete val="0"/>
        <c:axPos val="b"/>
        <c:numFmt formatCode="General" sourceLinked="0"/>
        <c:majorTickMark val="out"/>
        <c:minorTickMark val="none"/>
        <c:tickLblPos val="nextTo"/>
        <c:txPr>
          <a:bodyPr/>
          <a:lstStyle/>
          <a:p>
            <a:pPr>
              <a:defRPr sz="1050"/>
            </a:pPr>
            <a:endParaRPr lang="en-US"/>
          </a:p>
        </c:txPr>
        <c:crossAx val="849311360"/>
        <c:crosses val="autoZero"/>
        <c:auto val="1"/>
        <c:lblAlgn val="ctr"/>
        <c:lblOffset val="100"/>
        <c:noMultiLvlLbl val="0"/>
      </c:catAx>
      <c:valAx>
        <c:axId val="849311360"/>
        <c:scaling>
          <c:orientation val="minMax"/>
          <c:max val="12"/>
        </c:scaling>
        <c:delete val="0"/>
        <c:axPos val="l"/>
        <c:majorGridlines/>
        <c:numFmt formatCode="0.00" sourceLinked="1"/>
        <c:majorTickMark val="out"/>
        <c:minorTickMark val="none"/>
        <c:tickLblPos val="nextTo"/>
        <c:crossAx val="853761024"/>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Sediment Export</a:t>
            </a:r>
            <a:r>
              <a:rPr lang="en-US" baseline="0"/>
              <a:t> Reductions of a 50' Buffer (t/ac/yr)</a:t>
            </a:r>
            <a:endParaRPr lang="en-US"/>
          </a:p>
        </c:rich>
      </c:tx>
      <c:overlay val="0"/>
    </c:title>
    <c:autoTitleDeleted val="0"/>
    <c:plotArea>
      <c:layout>
        <c:manualLayout>
          <c:layoutTarget val="inner"/>
          <c:xMode val="edge"/>
          <c:yMode val="edge"/>
          <c:x val="6.5318301584783259E-2"/>
          <c:y val="0.1316932619763401"/>
          <c:w val="0.90844371193931717"/>
          <c:h val="0.65488660191761017"/>
        </c:manualLayout>
      </c:layout>
      <c:barChart>
        <c:barDir val="col"/>
        <c:grouping val="clustered"/>
        <c:varyColors val="0"/>
        <c:ser>
          <c:idx val="0"/>
          <c:order val="0"/>
          <c:tx>
            <c:v>Poor Management</c:v>
          </c:tx>
          <c:spPr>
            <a:solidFill>
              <a:srgbClr val="FF00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RESULTS'!$AD$4:$AD$33</c:f>
              <c:numCache>
                <c:formatCode>0.00</c:formatCode>
                <c:ptCount val="30"/>
                <c:pt idx="0">
                  <c:v>1.8386899921864472</c:v>
                </c:pt>
                <c:pt idx="1">
                  <c:v>4.4407696521172859</c:v>
                </c:pt>
                <c:pt idx="2">
                  <c:v>3.3026781901708091</c:v>
                </c:pt>
                <c:pt idx="3">
                  <c:v>3.4094137025390716</c:v>
                </c:pt>
                <c:pt idx="4">
                  <c:v>2.8239996686792086</c:v>
                </c:pt>
                <c:pt idx="5">
                  <c:v>2.5805381408189083</c:v>
                </c:pt>
                <c:pt idx="6">
                  <c:v>2.8141067476263886</c:v>
                </c:pt>
                <c:pt idx="7">
                  <c:v>3.0402478406713316</c:v>
                </c:pt>
                <c:pt idx="8">
                  <c:v>1.3804295779154723</c:v>
                </c:pt>
                <c:pt idx="9">
                  <c:v>2.5592369584678476</c:v>
                </c:pt>
                <c:pt idx="10">
                  <c:v>1.2347843910974303</c:v>
                </c:pt>
                <c:pt idx="11">
                  <c:v>3.3889611655446217</c:v>
                </c:pt>
                <c:pt idx="12">
                  <c:v>1.6635937797308011</c:v>
                </c:pt>
                <c:pt idx="13">
                  <c:v>5.2771599904305218</c:v>
                </c:pt>
                <c:pt idx="14">
                  <c:v>2.3789267485264207</c:v>
                </c:pt>
                <c:pt idx="15">
                  <c:v>0.6925121520493569</c:v>
                </c:pt>
                <c:pt idx="16">
                  <c:v>9.8240073158014827</c:v>
                </c:pt>
                <c:pt idx="17">
                  <c:v>0.30383922534467556</c:v>
                </c:pt>
                <c:pt idx="18">
                  <c:v>1.8063047349130503</c:v>
                </c:pt>
                <c:pt idx="19">
                  <c:v>0.1991799507594445</c:v>
                </c:pt>
                <c:pt idx="20">
                  <c:v>0.72649477135311358</c:v>
                </c:pt>
                <c:pt idx="21">
                  <c:v>5.3460588776464739</c:v>
                </c:pt>
                <c:pt idx="22">
                  <c:v>1.5031390564995561</c:v>
                </c:pt>
                <c:pt idx="23">
                  <c:v>6.2937537945583895</c:v>
                </c:pt>
                <c:pt idx="24">
                  <c:v>3.8403980335041497</c:v>
                </c:pt>
                <c:pt idx="25">
                  <c:v>1.0822762590005213</c:v>
                </c:pt>
                <c:pt idx="26">
                  <c:v>6.4175191813502668</c:v>
                </c:pt>
                <c:pt idx="27">
                  <c:v>1.1466883665261651</c:v>
                </c:pt>
                <c:pt idx="28">
                  <c:v>4.130767110538212</c:v>
                </c:pt>
                <c:pt idx="29">
                  <c:v>4.3136691481178264</c:v>
                </c:pt>
              </c:numCache>
            </c:numRef>
          </c:val>
          <c:extLst>
            <c:ext xmlns:c16="http://schemas.microsoft.com/office/drawing/2014/chart" uri="{C3380CC4-5D6E-409C-BE32-E72D297353CC}">
              <c16:uniqueId val="{00000000-8AD8-496F-8FEB-BE7FF5D39969}"/>
            </c:ext>
          </c:extLst>
        </c:ser>
        <c:ser>
          <c:idx val="1"/>
          <c:order val="1"/>
          <c:tx>
            <c:v>Average Management</c:v>
          </c:tx>
          <c:spPr>
            <a:solidFill>
              <a:srgbClr val="FFCC00"/>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RESULTS'!$AF$4:$AF$33</c:f>
              <c:numCache>
                <c:formatCode>0.00</c:formatCode>
                <c:ptCount val="30"/>
                <c:pt idx="0">
                  <c:v>1.6473268042147491</c:v>
                </c:pt>
                <c:pt idx="1">
                  <c:v>3.9820722108098909</c:v>
                </c:pt>
                <c:pt idx="2">
                  <c:v>2.7027501803513871</c:v>
                </c:pt>
                <c:pt idx="3">
                  <c:v>3.2075353639758335</c:v>
                </c:pt>
                <c:pt idx="4">
                  <c:v>2.1161147355982255</c:v>
                </c:pt>
                <c:pt idx="5">
                  <c:v>2.4300000000000002</c:v>
                </c:pt>
                <c:pt idx="6">
                  <c:v>2.1756818448948896</c:v>
                </c:pt>
                <c:pt idx="7">
                  <c:v>2.5891130743285977</c:v>
                </c:pt>
                <c:pt idx="8">
                  <c:v>1.3214429145485362</c:v>
                </c:pt>
                <c:pt idx="9">
                  <c:v>1.854234249115942</c:v>
                </c:pt>
                <c:pt idx="10">
                  <c:v>1.23</c:v>
                </c:pt>
                <c:pt idx="11">
                  <c:v>2.7079745527907892</c:v>
                </c:pt>
                <c:pt idx="12">
                  <c:v>1.6473268042147491</c:v>
                </c:pt>
                <c:pt idx="13">
                  <c:v>3.9757598832490579</c:v>
                </c:pt>
                <c:pt idx="14">
                  <c:v>2.249234674985523</c:v>
                </c:pt>
                <c:pt idx="15">
                  <c:v>0.56723411847012351</c:v>
                </c:pt>
                <c:pt idx="16">
                  <c:v>8.3771502864005143</c:v>
                </c:pt>
                <c:pt idx="17">
                  <c:v>0.3</c:v>
                </c:pt>
                <c:pt idx="18">
                  <c:v>1.6916877402648689</c:v>
                </c:pt>
                <c:pt idx="19">
                  <c:v>0.16499920773869992</c:v>
                </c:pt>
                <c:pt idx="20">
                  <c:v>0.59762870936935819</c:v>
                </c:pt>
                <c:pt idx="21">
                  <c:v>4.4790593550073403</c:v>
                </c:pt>
                <c:pt idx="22">
                  <c:v>1.2288098892118988</c:v>
                </c:pt>
                <c:pt idx="23">
                  <c:v>5.4344705292453837</c:v>
                </c:pt>
                <c:pt idx="24">
                  <c:v>3.0779302112540226</c:v>
                </c:pt>
                <c:pt idx="25">
                  <c:v>1.07709829506349</c:v>
                </c:pt>
                <c:pt idx="26">
                  <c:v>5.1320565823613347</c:v>
                </c:pt>
                <c:pt idx="27">
                  <c:v>1.1349867653999206</c:v>
                </c:pt>
                <c:pt idx="28">
                  <c:v>3.2971140547338234</c:v>
                </c:pt>
                <c:pt idx="29">
                  <c:v>3.6272869054343997</c:v>
                </c:pt>
              </c:numCache>
            </c:numRef>
          </c:val>
          <c:extLst>
            <c:ext xmlns:c16="http://schemas.microsoft.com/office/drawing/2014/chart" uri="{C3380CC4-5D6E-409C-BE32-E72D297353CC}">
              <c16:uniqueId val="{00000001-8AD8-496F-8FEB-BE7FF5D39969}"/>
            </c:ext>
          </c:extLst>
        </c:ser>
        <c:ser>
          <c:idx val="2"/>
          <c:order val="2"/>
          <c:tx>
            <c:v>Best Management</c:v>
          </c:tx>
          <c:spPr>
            <a:solidFill>
              <a:srgbClr val="339966"/>
            </a:solidFill>
          </c:spPr>
          <c:invertIfNegative val="0"/>
          <c:cat>
            <c:strRef>
              <c:f>'270 Baseline RESULTS'!$A$4:$A$33</c:f>
              <c:strCache>
                <c:ptCount val="30"/>
                <c:pt idx="0">
                  <c:v>Alluvium and Outwash</c:v>
                </c:pt>
                <c:pt idx="1">
                  <c:v>Anoka Sand Plains</c:v>
                </c:pt>
                <c:pt idx="2">
                  <c:v>Blufflands</c:v>
                </c:pt>
                <c:pt idx="3">
                  <c:v>Central Till</c:v>
                </c:pt>
                <c:pt idx="4">
                  <c:v>Coteau</c:v>
                </c:pt>
                <c:pt idx="5">
                  <c:v>Drumlins</c:v>
                </c:pt>
                <c:pt idx="6">
                  <c:v>Dryer Blue Earth Till</c:v>
                </c:pt>
                <c:pt idx="7">
                  <c:v>Dryer Clays and Silts</c:v>
                </c:pt>
                <c:pt idx="8">
                  <c:v>Dryer Till</c:v>
                </c:pt>
                <c:pt idx="9">
                  <c:v>Inner Coteau</c:v>
                </c:pt>
                <c:pt idx="10">
                  <c:v>Inter-Beach Sand Bars</c:v>
                </c:pt>
                <c:pt idx="11">
                  <c:v>Level Plains</c:v>
                </c:pt>
                <c:pt idx="12">
                  <c:v>Mahnomen Lake Sediments</c:v>
                </c:pt>
                <c:pt idx="13">
                  <c:v>Poorly Drained Blue Earth Till</c:v>
                </c:pt>
                <c:pt idx="14">
                  <c:v>Poorly Drained Lake Sediments</c:v>
                </c:pt>
                <c:pt idx="15">
                  <c:v>Rochester Plateau</c:v>
                </c:pt>
                <c:pt idx="16">
                  <c:v>Rolling Moraine</c:v>
                </c:pt>
                <c:pt idx="17">
                  <c:v>Somewhat Poorly Drained Lake Sed</c:v>
                </c:pt>
                <c:pt idx="18">
                  <c:v>Steep Dryer Moraine</c:v>
                </c:pt>
                <c:pt idx="19">
                  <c:v>Steep Stream Banks</c:v>
                </c:pt>
                <c:pt idx="20">
                  <c:v>Steep Valley Walls</c:v>
                </c:pt>
                <c:pt idx="21">
                  <c:v>Steep Wetter Moraine</c:v>
                </c:pt>
                <c:pt idx="22">
                  <c:v>Steeper Alluvium</c:v>
                </c:pt>
                <c:pt idx="23">
                  <c:v>Steeper Till</c:v>
                </c:pt>
                <c:pt idx="24">
                  <c:v>Stream Banks</c:v>
                </c:pt>
                <c:pt idx="25">
                  <c:v>Swelling Clay Lake Sed</c:v>
                </c:pt>
                <c:pt idx="26">
                  <c:v>Undulating Plains</c:v>
                </c:pt>
                <c:pt idx="27">
                  <c:v>Very Poorly Drained Lake Sed</c:v>
                </c:pt>
                <c:pt idx="28">
                  <c:v>Wetter Blue Earth Till </c:v>
                </c:pt>
                <c:pt idx="29">
                  <c:v>Wetter Clays and silts</c:v>
                </c:pt>
              </c:strCache>
            </c:strRef>
          </c:cat>
          <c:val>
            <c:numRef>
              <c:f>'270 Baseline RESULTS'!$AH$4:$AH$33</c:f>
              <c:numCache>
                <c:formatCode>0.00</c:formatCode>
                <c:ptCount val="30"/>
                <c:pt idx="0">
                  <c:v>1.1114764673332185</c:v>
                </c:pt>
                <c:pt idx="1">
                  <c:v>2.5308546070790445</c:v>
                </c:pt>
                <c:pt idx="2">
                  <c:v>2.1685993816971134</c:v>
                </c:pt>
                <c:pt idx="3">
                  <c:v>2.2191428450346451</c:v>
                </c:pt>
                <c:pt idx="4">
                  <c:v>1.5375597814436306</c:v>
                </c:pt>
                <c:pt idx="5">
                  <c:v>1.5948022294521682</c:v>
                </c:pt>
                <c:pt idx="6">
                  <c:v>1.5230000042789971</c:v>
                </c:pt>
                <c:pt idx="7">
                  <c:v>1.7452589311081526</c:v>
                </c:pt>
                <c:pt idx="8">
                  <c:v>1.0968529798435691</c:v>
                </c:pt>
                <c:pt idx="9">
                  <c:v>1.3744934545699095</c:v>
                </c:pt>
                <c:pt idx="10">
                  <c:v>1.1979283583795115</c:v>
                </c:pt>
                <c:pt idx="11">
                  <c:v>1.8184801313888563</c:v>
                </c:pt>
                <c:pt idx="12">
                  <c:v>1.5413897094198403</c:v>
                </c:pt>
                <c:pt idx="13">
                  <c:v>2.8076749263997902</c:v>
                </c:pt>
                <c:pt idx="14">
                  <c:v>1.9132606385194713</c:v>
                </c:pt>
                <c:pt idx="15">
                  <c:v>0.43722174670300973</c:v>
                </c:pt>
                <c:pt idx="16">
                  <c:v>5.3339218112577429</c:v>
                </c:pt>
                <c:pt idx="17">
                  <c:v>0.27357280492596653</c:v>
                </c:pt>
                <c:pt idx="18">
                  <c:v>1.1401522466181166</c:v>
                </c:pt>
                <c:pt idx="19">
                  <c:v>0.10607133147232295</c:v>
                </c:pt>
                <c:pt idx="20">
                  <c:v>0.40895300529702183</c:v>
                </c:pt>
                <c:pt idx="21">
                  <c:v>2.8710724087679642</c:v>
                </c:pt>
                <c:pt idx="22">
                  <c:v>0.97161302036455055</c:v>
                </c:pt>
                <c:pt idx="23">
                  <c:v>3.8330496521296866</c:v>
                </c:pt>
                <c:pt idx="24">
                  <c:v>2.1329807365385309</c:v>
                </c:pt>
                <c:pt idx="25">
                  <c:v>1.0404712414151909</c:v>
                </c:pt>
                <c:pt idx="26">
                  <c:v>3.5864423470044366</c:v>
                </c:pt>
                <c:pt idx="27">
                  <c:v>1.0752755716102766</c:v>
                </c:pt>
                <c:pt idx="28">
                  <c:v>2.2269723867370592</c:v>
                </c:pt>
                <c:pt idx="29">
                  <c:v>2.3242404620122503</c:v>
                </c:pt>
              </c:numCache>
            </c:numRef>
          </c:val>
          <c:extLst>
            <c:ext xmlns:c16="http://schemas.microsoft.com/office/drawing/2014/chart" uri="{C3380CC4-5D6E-409C-BE32-E72D297353CC}">
              <c16:uniqueId val="{00000002-8AD8-496F-8FEB-BE7FF5D39969}"/>
            </c:ext>
          </c:extLst>
        </c:ser>
        <c:dLbls>
          <c:showLegendKey val="0"/>
          <c:showVal val="0"/>
          <c:showCatName val="0"/>
          <c:showSerName val="0"/>
          <c:showPercent val="0"/>
          <c:showBubbleSize val="0"/>
        </c:dLbls>
        <c:gapWidth val="150"/>
        <c:axId val="854086144"/>
        <c:axId val="850886656"/>
      </c:barChart>
      <c:catAx>
        <c:axId val="854086144"/>
        <c:scaling>
          <c:orientation val="minMax"/>
        </c:scaling>
        <c:delete val="0"/>
        <c:axPos val="b"/>
        <c:numFmt formatCode="General" sourceLinked="0"/>
        <c:majorTickMark val="out"/>
        <c:minorTickMark val="none"/>
        <c:tickLblPos val="nextTo"/>
        <c:txPr>
          <a:bodyPr/>
          <a:lstStyle/>
          <a:p>
            <a:pPr>
              <a:defRPr sz="1050"/>
            </a:pPr>
            <a:endParaRPr lang="en-US"/>
          </a:p>
        </c:txPr>
        <c:crossAx val="850886656"/>
        <c:crosses val="autoZero"/>
        <c:auto val="1"/>
        <c:lblAlgn val="ctr"/>
        <c:lblOffset val="100"/>
        <c:noMultiLvlLbl val="0"/>
      </c:catAx>
      <c:valAx>
        <c:axId val="850886656"/>
        <c:scaling>
          <c:orientation val="minMax"/>
        </c:scaling>
        <c:delete val="0"/>
        <c:axPos val="l"/>
        <c:majorGridlines/>
        <c:numFmt formatCode="0.00" sourceLinked="1"/>
        <c:majorTickMark val="out"/>
        <c:minorTickMark val="none"/>
        <c:tickLblPos val="nextTo"/>
        <c:crossAx val="854086144"/>
        <c:crosses val="autoZero"/>
        <c:crossBetween val="between"/>
      </c:valAx>
    </c:plotArea>
    <c:legend>
      <c:legendPos val="r"/>
      <c:layout>
        <c:manualLayout>
          <c:xMode val="edge"/>
          <c:yMode val="edge"/>
          <c:x val="0.33144945462854875"/>
          <c:y val="6.7868744132184952E-2"/>
          <c:w val="0.33573512706583541"/>
          <c:h val="4.5437606792871704E-2"/>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CheckBox" fmlaLink="$H$6"/>
</file>

<file path=xl/ctrlProps/ctrlProp10.xml><?xml version="1.0" encoding="utf-8"?>
<formControlPr xmlns="http://schemas.microsoft.com/office/spreadsheetml/2009/9/main" objectType="CheckBox" checked="Checked" fmlaLink="$H$11"/>
</file>

<file path=xl/ctrlProps/ctrlProp11.xml><?xml version="1.0" encoding="utf-8"?>
<formControlPr xmlns="http://schemas.microsoft.com/office/spreadsheetml/2009/9/main" objectType="CheckBox" fmlaLink="H12"/>
</file>

<file path=xl/ctrlProps/ctrlProp12.xml><?xml version="1.0" encoding="utf-8"?>
<formControlPr xmlns="http://schemas.microsoft.com/office/spreadsheetml/2009/9/main" objectType="CheckBox" fmlaLink="#REF!" lockText="1"/>
</file>

<file path=xl/ctrlProps/ctrlProp13.xml><?xml version="1.0" encoding="utf-8"?>
<formControlPr xmlns="http://schemas.microsoft.com/office/spreadsheetml/2009/9/main" objectType="CheckBox" fmlaLink="H13"/>
</file>

<file path=xl/ctrlProps/ctrlProp14.xml><?xml version="1.0" encoding="utf-8"?>
<formControlPr xmlns="http://schemas.microsoft.com/office/spreadsheetml/2009/9/main" objectType="CheckBox" fmlaLink="H14"/>
</file>

<file path=xl/ctrlProps/ctrlProp15.xml><?xml version="1.0" encoding="utf-8"?>
<formControlPr xmlns="http://schemas.microsoft.com/office/spreadsheetml/2009/9/main" objectType="CheckBox" fmlaLink="H15"/>
</file>

<file path=xl/ctrlProps/ctrlProp2.xml><?xml version="1.0" encoding="utf-8"?>
<formControlPr xmlns="http://schemas.microsoft.com/office/spreadsheetml/2009/9/main" objectType="CheckBox" fmlaLink="H7"/>
</file>

<file path=xl/ctrlProps/ctrlProp3.xml><?xml version="1.0" encoding="utf-8"?>
<formControlPr xmlns="http://schemas.microsoft.com/office/spreadsheetml/2009/9/main" objectType="CheckBox" fmlaLink="H8"/>
</file>

<file path=xl/ctrlProps/ctrlProp4.xml><?xml version="1.0" encoding="utf-8"?>
<formControlPr xmlns="http://schemas.microsoft.com/office/spreadsheetml/2009/9/main" objectType="CheckBox" fmlaLink="H9"/>
</file>

<file path=xl/ctrlProps/ctrlProp5.xml><?xml version="1.0" encoding="utf-8"?>
<formControlPr xmlns="http://schemas.microsoft.com/office/spreadsheetml/2009/9/main" objectType="CheckBox" fmlaLink="H10"/>
</file>

<file path=xl/ctrlProps/ctrlProp6.xml><?xml version="1.0" encoding="utf-8"?>
<formControlPr xmlns="http://schemas.microsoft.com/office/spreadsheetml/2009/9/main" objectType="CheckBox" fmlaLink="#REF!"/>
</file>

<file path=xl/ctrlProps/ctrlProp7.xml><?xml version="1.0" encoding="utf-8"?>
<formControlPr xmlns="http://schemas.microsoft.com/office/spreadsheetml/2009/9/main" objectType="CheckBox" checked="Checked" fmlaLink="#REF!"/>
</file>

<file path=xl/ctrlProps/ctrlProp8.xml><?xml version="1.0" encoding="utf-8"?>
<formControlPr xmlns="http://schemas.microsoft.com/office/spreadsheetml/2009/9/main" objectType="CheckBox" fmlaLink="H16"/>
</file>

<file path=xl/ctrlProps/ctrlProp9.xml><?xml version="1.0" encoding="utf-8"?>
<formControlPr xmlns="http://schemas.microsoft.com/office/spreadsheetml/2009/9/main" objectType="CheckBox" fmlaLink="H17"/>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2924175</xdr:colOff>
          <xdr:row>5</xdr:row>
          <xdr:rowOff>0</xdr:rowOff>
        </xdr:from>
        <xdr:to>
          <xdr:col>1</xdr:col>
          <xdr:colOff>3114675</xdr:colOff>
          <xdr:row>6</xdr:row>
          <xdr:rowOff>190500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5</xdr:row>
          <xdr:rowOff>0</xdr:rowOff>
        </xdr:from>
        <xdr:to>
          <xdr:col>1</xdr:col>
          <xdr:colOff>3114675</xdr:colOff>
          <xdr:row>6</xdr:row>
          <xdr:rowOff>190500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7</xdr:row>
          <xdr:rowOff>0</xdr:rowOff>
        </xdr:from>
        <xdr:to>
          <xdr:col>1</xdr:col>
          <xdr:colOff>3114675</xdr:colOff>
          <xdr:row>7</xdr:row>
          <xdr:rowOff>190500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8</xdr:row>
          <xdr:rowOff>0</xdr:rowOff>
        </xdr:from>
        <xdr:to>
          <xdr:col>1</xdr:col>
          <xdr:colOff>3114675</xdr:colOff>
          <xdr:row>8</xdr:row>
          <xdr:rowOff>190500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9</xdr:row>
          <xdr:rowOff>0</xdr:rowOff>
        </xdr:from>
        <xdr:to>
          <xdr:col>1</xdr:col>
          <xdr:colOff>3114675</xdr:colOff>
          <xdr:row>9</xdr:row>
          <xdr:rowOff>190500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15</xdr:row>
          <xdr:rowOff>0</xdr:rowOff>
        </xdr:from>
        <xdr:to>
          <xdr:col>1</xdr:col>
          <xdr:colOff>3114675</xdr:colOff>
          <xdr:row>15</xdr:row>
          <xdr:rowOff>190500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10</xdr:row>
          <xdr:rowOff>0</xdr:rowOff>
        </xdr:from>
        <xdr:to>
          <xdr:col>1</xdr:col>
          <xdr:colOff>3114675</xdr:colOff>
          <xdr:row>10</xdr:row>
          <xdr:rowOff>190500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200-000009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15</xdr:row>
          <xdr:rowOff>0</xdr:rowOff>
        </xdr:from>
        <xdr:to>
          <xdr:col>1</xdr:col>
          <xdr:colOff>3114675</xdr:colOff>
          <xdr:row>15</xdr:row>
          <xdr:rowOff>190500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200-00000A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16</xdr:row>
          <xdr:rowOff>0</xdr:rowOff>
        </xdr:from>
        <xdr:to>
          <xdr:col>1</xdr:col>
          <xdr:colOff>3114675</xdr:colOff>
          <xdr:row>16</xdr:row>
          <xdr:rowOff>190500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200-00000B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10</xdr:row>
          <xdr:rowOff>0</xdr:rowOff>
        </xdr:from>
        <xdr:to>
          <xdr:col>1</xdr:col>
          <xdr:colOff>3114675</xdr:colOff>
          <xdr:row>10</xdr:row>
          <xdr:rowOff>190500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200-00000C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11</xdr:row>
          <xdr:rowOff>0</xdr:rowOff>
        </xdr:from>
        <xdr:to>
          <xdr:col>1</xdr:col>
          <xdr:colOff>3114675</xdr:colOff>
          <xdr:row>11</xdr:row>
          <xdr:rowOff>190500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200-00000D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12</xdr:row>
          <xdr:rowOff>0</xdr:rowOff>
        </xdr:from>
        <xdr:to>
          <xdr:col>1</xdr:col>
          <xdr:colOff>3114675</xdr:colOff>
          <xdr:row>12</xdr:row>
          <xdr:rowOff>190500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200-00000E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12</xdr:row>
          <xdr:rowOff>0</xdr:rowOff>
        </xdr:from>
        <xdr:to>
          <xdr:col>1</xdr:col>
          <xdr:colOff>3114675</xdr:colOff>
          <xdr:row>12</xdr:row>
          <xdr:rowOff>190500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200-00000F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13</xdr:row>
          <xdr:rowOff>0</xdr:rowOff>
        </xdr:from>
        <xdr:to>
          <xdr:col>1</xdr:col>
          <xdr:colOff>3114675</xdr:colOff>
          <xdr:row>13</xdr:row>
          <xdr:rowOff>190500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200-000010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2924175</xdr:colOff>
          <xdr:row>14</xdr:row>
          <xdr:rowOff>0</xdr:rowOff>
        </xdr:from>
        <xdr:to>
          <xdr:col>1</xdr:col>
          <xdr:colOff>3114675</xdr:colOff>
          <xdr:row>14</xdr:row>
          <xdr:rowOff>190500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200-000012600000}"/>
                </a:ext>
              </a:extLst>
            </xdr:cNvPr>
            <xdr:cNvSpPr/>
          </xdr:nvSpPr>
          <xdr:spPr bwMode="auto">
            <a:xfrm>
              <a:off x="0" y="0"/>
              <a:ext cx="0" cy="0"/>
            </a:xfrm>
            <a:prstGeom prst="rect">
              <a:avLst/>
            </a:prstGeom>
            <a:solidFill>
              <a:srgbClr val="FFFF00"/>
            </a:solidFill>
            <a:ln w="9525">
              <a:solidFill>
                <a:srgbClr val="000000"/>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12700</xdr:rowOff>
        </xdr:from>
        <xdr:to>
          <xdr:col>12</xdr:col>
          <xdr:colOff>333375</xdr:colOff>
          <xdr:row>11</xdr:row>
          <xdr:rowOff>60325</xdr:rowOff>
        </xdr:to>
        <xdr:pic>
          <xdr:nvPicPr>
            <xdr:cNvPr id="65537" name="Picture 1">
              <a:extLst>
                <a:ext uri="{FF2B5EF4-FFF2-40B4-BE49-F238E27FC236}">
                  <a16:creationId xmlns:a16="http://schemas.microsoft.com/office/drawing/2014/main" id="{00000000-0008-0000-0300-000001000100}"/>
                </a:ext>
              </a:extLst>
            </xdr:cNvPr>
            <xdr:cNvPicPr>
              <a:picLocks noChangeAspect="1" noChangeArrowheads="1"/>
              <a:extLst>
                <a:ext uri="{84589F7E-364E-4C9E-8A38-B11213B215E9}">
                  <a14:cameraTool cellRange="'(STEP 1) Baseline Conditions'!$A$4:$B$9" spid="_x0000_s65630"/>
                </a:ext>
              </a:extLst>
            </xdr:cNvPicPr>
          </xdr:nvPicPr>
          <xdr:blipFill>
            <a:blip xmlns:r="http://schemas.openxmlformats.org/officeDocument/2006/relationships" r:embed="rId1"/>
            <a:srcRect/>
            <a:stretch>
              <a:fillRect/>
            </a:stretch>
          </xdr:blipFill>
          <xdr:spPr bwMode="auto">
            <a:xfrm>
              <a:off x="0" y="12700"/>
              <a:ext cx="8029575" cy="1381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63500</xdr:rowOff>
        </xdr:from>
        <xdr:to>
          <xdr:col>12</xdr:col>
          <xdr:colOff>333375</xdr:colOff>
          <xdr:row>18</xdr:row>
          <xdr:rowOff>111125</xdr:rowOff>
        </xdr:to>
        <xdr:pic>
          <xdr:nvPicPr>
            <xdr:cNvPr id="65538" name="Picture 2">
              <a:extLst>
                <a:ext uri="{FF2B5EF4-FFF2-40B4-BE49-F238E27FC236}">
                  <a16:creationId xmlns:a16="http://schemas.microsoft.com/office/drawing/2014/main" id="{00000000-0008-0000-0300-000002000100}"/>
                </a:ext>
              </a:extLst>
            </xdr:cNvPr>
            <xdr:cNvPicPr>
              <a:picLocks noChangeAspect="1" noChangeArrowheads="1"/>
              <a:extLst>
                <a:ext uri="{84589F7E-364E-4C9E-8A38-B11213B215E9}">
                  <a14:cameraTool cellRange="'(STEP 1) Baseline Conditions'!$A$12:$B$17" spid="_x0000_s65631"/>
                </a:ext>
              </a:extLst>
            </xdr:cNvPicPr>
          </xdr:nvPicPr>
          <xdr:blipFill>
            <a:blip xmlns:r="http://schemas.openxmlformats.org/officeDocument/2006/relationships" r:embed="rId2"/>
            <a:srcRect/>
            <a:stretch>
              <a:fillRect/>
            </a:stretch>
          </xdr:blipFill>
          <xdr:spPr bwMode="auto">
            <a:xfrm>
              <a:off x="0" y="1397000"/>
              <a:ext cx="8029575" cy="1381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114300</xdr:rowOff>
        </xdr:from>
        <xdr:to>
          <xdr:col>13</xdr:col>
          <xdr:colOff>19050</xdr:colOff>
          <xdr:row>36</xdr:row>
          <xdr:rowOff>180975</xdr:rowOff>
        </xdr:to>
        <xdr:pic>
          <xdr:nvPicPr>
            <xdr:cNvPr id="65539" name="Picture 3">
              <a:extLst>
                <a:ext uri="{FF2B5EF4-FFF2-40B4-BE49-F238E27FC236}">
                  <a16:creationId xmlns:a16="http://schemas.microsoft.com/office/drawing/2014/main" id="{00000000-0008-0000-0300-000003000100}"/>
                </a:ext>
              </a:extLst>
            </xdr:cNvPr>
            <xdr:cNvPicPr>
              <a:picLocks noChangeAspect="1" noChangeArrowheads="1"/>
              <a:extLst>
                <a:ext uri="{84589F7E-364E-4C9E-8A38-B11213B215E9}">
                  <a14:cameraTool cellRange="'(STEP 2) Alternative BMP Choice'!$B$4:$E$20" spid="_x0000_s65632"/>
                </a:ext>
              </a:extLst>
            </xdr:cNvPicPr>
          </xdr:nvPicPr>
          <xdr:blipFill>
            <a:blip xmlns:r="http://schemas.openxmlformats.org/officeDocument/2006/relationships" r:embed="rId3"/>
            <a:srcRect/>
            <a:stretch>
              <a:fillRect/>
            </a:stretch>
          </xdr:blipFill>
          <xdr:spPr bwMode="auto">
            <a:xfrm>
              <a:off x="0" y="2781300"/>
              <a:ext cx="8324850" cy="34956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67234</xdr:colOff>
      <xdr:row>35</xdr:row>
      <xdr:rowOff>113179</xdr:rowOff>
    </xdr:from>
    <xdr:to>
      <xdr:col>11</xdr:col>
      <xdr:colOff>806822</xdr:colOff>
      <xdr:row>73</xdr:row>
      <xdr:rowOff>123264</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437031</xdr:colOff>
      <xdr:row>35</xdr:row>
      <xdr:rowOff>166687</xdr:rowOff>
    </xdr:from>
    <xdr:to>
      <xdr:col>22</xdr:col>
      <xdr:colOff>976313</xdr:colOff>
      <xdr:row>74</xdr:row>
      <xdr:rowOff>0</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75</xdr:row>
      <xdr:rowOff>0</xdr:rowOff>
    </xdr:from>
    <xdr:to>
      <xdr:col>12</xdr:col>
      <xdr:colOff>280147</xdr:colOff>
      <xdr:row>113</xdr:row>
      <xdr:rowOff>10085</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114</xdr:row>
      <xdr:rowOff>0</xdr:rowOff>
    </xdr:from>
    <xdr:to>
      <xdr:col>12</xdr:col>
      <xdr:colOff>280147</xdr:colOff>
      <xdr:row>152</xdr:row>
      <xdr:rowOff>10085</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75</xdr:row>
      <xdr:rowOff>47624</xdr:rowOff>
    </xdr:from>
    <xdr:to>
      <xdr:col>23</xdr:col>
      <xdr:colOff>0</xdr:colOff>
      <xdr:row>112</xdr:row>
      <xdr:rowOff>189380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153</xdr:row>
      <xdr:rowOff>0</xdr:rowOff>
    </xdr:from>
    <xdr:to>
      <xdr:col>11</xdr:col>
      <xdr:colOff>739588</xdr:colOff>
      <xdr:row>191</xdr:row>
      <xdr:rowOff>10085</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2130136</xdr:colOff>
      <xdr:row>193</xdr:row>
      <xdr:rowOff>17318</xdr:rowOff>
    </xdr:from>
    <xdr:to>
      <xdr:col>10</xdr:col>
      <xdr:colOff>238125</xdr:colOff>
      <xdr:row>230</xdr:row>
      <xdr:rowOff>79358</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142875</xdr:colOff>
      <xdr:row>35</xdr:row>
      <xdr:rowOff>140492</xdr:rowOff>
    </xdr:from>
    <xdr:to>
      <xdr:col>35</xdr:col>
      <xdr:colOff>71437</xdr:colOff>
      <xdr:row>74</xdr:row>
      <xdr:rowOff>47624</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0</xdr:colOff>
      <xdr:row>76</xdr:row>
      <xdr:rowOff>0</xdr:rowOff>
    </xdr:from>
    <xdr:to>
      <xdr:col>34</xdr:col>
      <xdr:colOff>933017</xdr:colOff>
      <xdr:row>114</xdr:row>
      <xdr:rowOff>97632</xdr:rowOff>
    </xdr:to>
    <xdr:graphicFrame macro="">
      <xdr:nvGraphicFramePr>
        <xdr:cNvPr id="12" name="Chart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115</xdr:row>
      <xdr:rowOff>0</xdr:rowOff>
    </xdr:from>
    <xdr:to>
      <xdr:col>34</xdr:col>
      <xdr:colOff>933017</xdr:colOff>
      <xdr:row>153</xdr:row>
      <xdr:rowOff>97632</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0</xdr:colOff>
      <xdr:row>154</xdr:row>
      <xdr:rowOff>0</xdr:rowOff>
    </xdr:from>
    <xdr:to>
      <xdr:col>34</xdr:col>
      <xdr:colOff>933017</xdr:colOff>
      <xdr:row>192</xdr:row>
      <xdr:rowOff>97632</xdr:rowOff>
    </xdr:to>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OIL\GIS_GROUP\jgalzki\PhosphorusMPCA\Copy%20of%20PBMP_feb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Main"/>
      <sheetName val="HUC10"/>
      <sheetName val="P Export"/>
      <sheetName val="P_Index Scores"/>
      <sheetName val="Erosion"/>
      <sheetName val="Buffer"/>
      <sheetName val="Returns_Per_A"/>
      <sheetName val="Optimize"/>
      <sheetName val="Scenarios"/>
      <sheetName val="pwdsht"/>
      <sheetName val="Watersheds"/>
      <sheetName val="Watacresall"/>
      <sheetName val="Covercrop"/>
      <sheetName val="Parameters"/>
      <sheetName val="Fertilizer Rate"/>
      <sheetName val="Fertilizer Method"/>
      <sheetName val="STP"/>
      <sheetName val="Crop_codes"/>
      <sheetName val="Impl_select"/>
      <sheetName val="C_Drain"/>
      <sheetName val="Inlets"/>
      <sheetName val="Manure Method"/>
      <sheetName val="Manure Rate"/>
      <sheetName val="Cost data"/>
      <sheetName val="Runoff"/>
      <sheetName val="Revisions"/>
      <sheetName val="Workspace"/>
    </sheetNames>
    <sheetDataSet>
      <sheetData sheetId="0"/>
      <sheetData sheetId="1"/>
      <sheetData sheetId="2"/>
      <sheetData sheetId="3"/>
      <sheetData sheetId="4"/>
      <sheetData sheetId="5"/>
      <sheetData sheetId="6"/>
      <sheetData sheetId="7"/>
      <sheetData sheetId="8"/>
      <sheetData sheetId="9"/>
      <sheetData sheetId="10"/>
      <sheetData sheetId="11">
        <row r="38">
          <cell r="A38" t="str">
            <v>Statewide</v>
          </cell>
        </row>
        <row r="39">
          <cell r="A39" t="str">
            <v>Blue Earth River</v>
          </cell>
        </row>
        <row r="40">
          <cell r="A40" t="str">
            <v>Bois de Sioux River</v>
          </cell>
        </row>
        <row r="41">
          <cell r="A41" t="str">
            <v>Buffalo River</v>
          </cell>
        </row>
        <row r="42">
          <cell r="A42" t="str">
            <v>Cannon River</v>
          </cell>
        </row>
        <row r="43">
          <cell r="A43" t="str">
            <v>Cedar River</v>
          </cell>
        </row>
        <row r="44">
          <cell r="A44" t="str">
            <v>Chippewa River</v>
          </cell>
        </row>
        <row r="45">
          <cell r="A45" t="str">
            <v>Clearwater River</v>
          </cell>
        </row>
        <row r="46">
          <cell r="A46" t="str">
            <v>Cloquet River</v>
          </cell>
        </row>
        <row r="47">
          <cell r="A47" t="str">
            <v>Cottonwood River</v>
          </cell>
        </row>
        <row r="48">
          <cell r="A48" t="str">
            <v>Crow Wing River</v>
          </cell>
        </row>
        <row r="49">
          <cell r="A49" t="str">
            <v>Des Moines River - Headwaters</v>
          </cell>
        </row>
        <row r="50">
          <cell r="A50" t="str">
            <v>East Fork Des Moines River</v>
          </cell>
        </row>
        <row r="51">
          <cell r="A51" t="str">
            <v>Kettle River</v>
          </cell>
        </row>
        <row r="52">
          <cell r="A52" t="str">
            <v>Lac Qui Parle River</v>
          </cell>
        </row>
        <row r="53">
          <cell r="A53" t="str">
            <v>Lake Superior - South</v>
          </cell>
        </row>
        <row r="54">
          <cell r="A54" t="str">
            <v>Le Sueur River</v>
          </cell>
        </row>
        <row r="55">
          <cell r="A55" t="str">
            <v>Little Fork River</v>
          </cell>
        </row>
        <row r="56">
          <cell r="A56" t="str">
            <v>Little Sioux River</v>
          </cell>
        </row>
        <row r="57">
          <cell r="A57" t="str">
            <v>Long Prairie River</v>
          </cell>
        </row>
        <row r="58">
          <cell r="A58" t="str">
            <v>Lower Big Sioux River</v>
          </cell>
        </row>
        <row r="59">
          <cell r="A59" t="str">
            <v>Lower Des Moines River</v>
          </cell>
        </row>
        <row r="60">
          <cell r="A60" t="str">
            <v>Lower Minnesota River</v>
          </cell>
        </row>
        <row r="61">
          <cell r="A61" t="str">
            <v>Lower St. Croix River</v>
          </cell>
        </row>
        <row r="62">
          <cell r="A62" t="str">
            <v>Minnesota River - Headwaters</v>
          </cell>
        </row>
        <row r="63">
          <cell r="A63" t="str">
            <v>Minnesota River - Mankato</v>
          </cell>
        </row>
        <row r="64">
          <cell r="A64" t="str">
            <v>Minnesota River - Yellow Medicine River</v>
          </cell>
        </row>
        <row r="65">
          <cell r="A65" t="str">
            <v>Mississippi River - Brainerd</v>
          </cell>
        </row>
        <row r="66">
          <cell r="A66" t="str">
            <v>Mississippi River - Grand Rapids</v>
          </cell>
        </row>
        <row r="67">
          <cell r="A67" t="str">
            <v>Mississippi River - Headwaters</v>
          </cell>
        </row>
        <row r="68">
          <cell r="A68" t="str">
            <v>Mississippi River - La Crescent</v>
          </cell>
        </row>
        <row r="69">
          <cell r="A69" t="str">
            <v>Mississippi River - Lake Pepin</v>
          </cell>
        </row>
        <row r="70">
          <cell r="A70" t="str">
            <v>Mississippi River - Reno</v>
          </cell>
        </row>
        <row r="71">
          <cell r="A71" t="str">
            <v>Mississippi River - Sartell</v>
          </cell>
        </row>
        <row r="72">
          <cell r="A72" t="str">
            <v>Mississippi River - St. Cloud</v>
          </cell>
        </row>
        <row r="73">
          <cell r="A73" t="str">
            <v>Mississippi River - Twin Cities</v>
          </cell>
        </row>
        <row r="74">
          <cell r="A74" t="str">
            <v>Mississippi River - Winona</v>
          </cell>
        </row>
        <row r="75">
          <cell r="A75" t="str">
            <v>Mustinka River</v>
          </cell>
        </row>
        <row r="76">
          <cell r="A76" t="str">
            <v>Nemadji River</v>
          </cell>
        </row>
        <row r="77">
          <cell r="A77" t="str">
            <v>North Fork Crow River</v>
          </cell>
        </row>
        <row r="78">
          <cell r="A78" t="str">
            <v>Otter Tail River</v>
          </cell>
        </row>
        <row r="79">
          <cell r="A79" t="str">
            <v>Pine River</v>
          </cell>
        </row>
        <row r="80">
          <cell r="A80" t="str">
            <v>Pomme de Terre River</v>
          </cell>
        </row>
        <row r="81">
          <cell r="A81" t="str">
            <v>Red Lake River</v>
          </cell>
        </row>
        <row r="82">
          <cell r="A82" t="str">
            <v>Red River of the North - Grand Marais Creek</v>
          </cell>
        </row>
        <row r="83">
          <cell r="A83" t="str">
            <v>Red River of the North - Marsh River</v>
          </cell>
        </row>
        <row r="84">
          <cell r="A84" t="str">
            <v>Red River of the North - Sandhill River</v>
          </cell>
        </row>
        <row r="85">
          <cell r="A85" t="str">
            <v>Red River of the North - Tamarac River</v>
          </cell>
        </row>
        <row r="86">
          <cell r="A86" t="str">
            <v>Redeye River</v>
          </cell>
        </row>
        <row r="87">
          <cell r="A87" t="str">
            <v>Redwood River</v>
          </cell>
        </row>
        <row r="88">
          <cell r="A88" t="str">
            <v>Rock River</v>
          </cell>
        </row>
        <row r="89">
          <cell r="A89" t="str">
            <v>Root River</v>
          </cell>
        </row>
        <row r="90">
          <cell r="A90" t="str">
            <v>Rum River</v>
          </cell>
        </row>
        <row r="91">
          <cell r="A91" t="str">
            <v>Sauk River</v>
          </cell>
        </row>
        <row r="92">
          <cell r="A92" t="str">
            <v>Shell Rock River</v>
          </cell>
        </row>
        <row r="93">
          <cell r="A93" t="str">
            <v>Snake River</v>
          </cell>
        </row>
        <row r="94">
          <cell r="A94" t="str">
            <v>Snake River</v>
          </cell>
        </row>
        <row r="95">
          <cell r="A95" t="str">
            <v>South Fork Crow River</v>
          </cell>
        </row>
        <row r="96">
          <cell r="A96" t="str">
            <v>Thief River</v>
          </cell>
        </row>
        <row r="97">
          <cell r="A97" t="str">
            <v>Two Rivers</v>
          </cell>
        </row>
        <row r="98">
          <cell r="A98" t="str">
            <v>Upper Big Sioux River</v>
          </cell>
        </row>
        <row r="99">
          <cell r="A99" t="str">
            <v>Upper Iowa River</v>
          </cell>
        </row>
        <row r="100">
          <cell r="A100" t="str">
            <v>Upper Red River of the North</v>
          </cell>
        </row>
        <row r="101">
          <cell r="A101" t="str">
            <v>Upper St. Croix River</v>
          </cell>
        </row>
        <row r="102">
          <cell r="A102" t="str">
            <v>Upper Wapsipinicon River</v>
          </cell>
        </row>
        <row r="103">
          <cell r="A103" t="str">
            <v>Watonwan River</v>
          </cell>
        </row>
        <row r="104">
          <cell r="A104" t="str">
            <v>Wild Rice River</v>
          </cell>
        </row>
        <row r="105">
          <cell r="A105" t="str">
            <v>Winnebago River</v>
          </cell>
        </row>
        <row r="106">
          <cell r="A106" t="str">
            <v>Zumbro River</v>
          </cell>
        </row>
        <row r="107">
          <cell r="A107" t="str">
            <v>Mississippi Basin overall</v>
          </cell>
        </row>
        <row r="108">
          <cell r="A108" t="str">
            <v>Cedar River Basin</v>
          </cell>
        </row>
        <row r="109">
          <cell r="A109" t="str">
            <v>Des Moines River Basin</v>
          </cell>
        </row>
        <row r="110">
          <cell r="A110" t="str">
            <v>Lake Superior Basin</v>
          </cell>
        </row>
        <row r="111">
          <cell r="A111" t="str">
            <v>Lower Mississippi River Basin</v>
          </cell>
        </row>
        <row r="112">
          <cell r="A112" t="str">
            <v>Minnesota River Basin</v>
          </cell>
        </row>
        <row r="113">
          <cell r="A113" t="str">
            <v>Missouri River Basin</v>
          </cell>
        </row>
        <row r="114">
          <cell r="A114" t="str">
            <v>Rainy River Basin</v>
          </cell>
        </row>
        <row r="115">
          <cell r="A115" t="str">
            <v>Red River of the North Basin</v>
          </cell>
        </row>
        <row r="116">
          <cell r="A116" t="str">
            <v>St.  Croix River Basin</v>
          </cell>
        </row>
        <row r="117">
          <cell r="A117" t="str">
            <v>Upper Mississippi River Basin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F21"/>
  <sheetViews>
    <sheetView zoomScale="67" zoomScaleNormal="67" workbookViewId="0">
      <selection activeCell="C16" sqref="C16"/>
    </sheetView>
  </sheetViews>
  <sheetFormatPr defaultRowHeight="15" x14ac:dyDescent="0.25"/>
  <cols>
    <col min="1" max="1" width="52.5703125" style="83" customWidth="1"/>
    <col min="2" max="2" width="6" style="83" customWidth="1"/>
    <col min="3" max="3" width="70.5703125" style="83" customWidth="1"/>
    <col min="4" max="4" width="46.28515625" style="83" customWidth="1"/>
    <col min="5" max="5" width="7.28515625" style="83" customWidth="1"/>
    <col min="6" max="6" width="78" style="83" customWidth="1"/>
    <col min="7" max="16384" width="9.140625" style="83"/>
  </cols>
  <sheetData>
    <row r="1" spans="1:6" ht="23.25" x14ac:dyDescent="0.25">
      <c r="A1" s="141" t="s">
        <v>346</v>
      </c>
      <c r="B1" s="142"/>
      <c r="C1" s="142"/>
      <c r="D1" s="142"/>
      <c r="E1" s="142"/>
      <c r="F1" s="142"/>
    </row>
    <row r="2" spans="1:6" ht="35.25" customHeight="1" thickBot="1" x14ac:dyDescent="0.3">
      <c r="A2" s="138" t="s">
        <v>382</v>
      </c>
      <c r="B2" s="139"/>
      <c r="C2" s="139"/>
      <c r="D2" s="140"/>
      <c r="E2" s="140"/>
      <c r="F2" s="140"/>
    </row>
    <row r="3" spans="1:6" ht="30" customHeight="1" thickBot="1" x14ac:dyDescent="0.3">
      <c r="A3" s="157" t="s">
        <v>354</v>
      </c>
      <c r="B3" s="158"/>
      <c r="C3" s="158"/>
      <c r="D3" s="151" t="s">
        <v>355</v>
      </c>
      <c r="E3" s="152"/>
      <c r="F3" s="153"/>
    </row>
    <row r="4" spans="1:6" ht="17.25" customHeight="1" thickBot="1" x14ac:dyDescent="0.3">
      <c r="A4" s="149" t="s">
        <v>333</v>
      </c>
      <c r="B4" s="150"/>
      <c r="C4" s="150"/>
      <c r="D4" s="154" t="s">
        <v>339</v>
      </c>
      <c r="E4" s="155"/>
      <c r="F4" s="156"/>
    </row>
    <row r="5" spans="1:6" ht="15.75" customHeight="1" thickBot="1" x14ac:dyDescent="0.3">
      <c r="A5" s="91" t="s">
        <v>321</v>
      </c>
      <c r="B5" s="92" t="s">
        <v>340</v>
      </c>
      <c r="C5" s="104" t="s">
        <v>314</v>
      </c>
      <c r="D5" s="143" t="s">
        <v>373</v>
      </c>
      <c r="E5" s="144"/>
      <c r="F5" s="145"/>
    </row>
    <row r="6" spans="1:6" ht="71.25" customHeight="1" x14ac:dyDescent="0.25">
      <c r="A6" s="89" t="s">
        <v>48</v>
      </c>
      <c r="B6" s="89" t="s">
        <v>315</v>
      </c>
      <c r="C6" s="105" t="s">
        <v>317</v>
      </c>
      <c r="D6" s="146"/>
      <c r="E6" s="147"/>
      <c r="F6" s="148"/>
    </row>
    <row r="7" spans="1:6" ht="42.75" customHeight="1" x14ac:dyDescent="0.25">
      <c r="A7" s="84" t="s">
        <v>182</v>
      </c>
      <c r="B7" s="84" t="s">
        <v>316</v>
      </c>
      <c r="C7" s="106" t="s">
        <v>381</v>
      </c>
      <c r="D7" s="109" t="s">
        <v>321</v>
      </c>
      <c r="E7" s="109" t="s">
        <v>340</v>
      </c>
      <c r="F7" s="109" t="s">
        <v>314</v>
      </c>
    </row>
    <row r="8" spans="1:6" ht="81" customHeight="1" thickBot="1" x14ac:dyDescent="0.3">
      <c r="A8" s="87" t="s">
        <v>288</v>
      </c>
      <c r="B8" s="88" t="s">
        <v>318</v>
      </c>
      <c r="C8" s="107" t="s">
        <v>319</v>
      </c>
      <c r="D8" s="84" t="s">
        <v>341</v>
      </c>
      <c r="E8" s="84" t="s">
        <v>364</v>
      </c>
      <c r="F8" s="85" t="s">
        <v>374</v>
      </c>
    </row>
    <row r="9" spans="1:6" ht="45.75" thickBot="1" x14ac:dyDescent="0.3">
      <c r="A9" s="94" t="s">
        <v>328</v>
      </c>
      <c r="B9" s="92" t="s">
        <v>340</v>
      </c>
      <c r="C9" s="108" t="s">
        <v>314</v>
      </c>
      <c r="D9" s="102" t="s">
        <v>367</v>
      </c>
      <c r="E9" s="102" t="s">
        <v>366</v>
      </c>
      <c r="F9" s="103" t="s">
        <v>345</v>
      </c>
    </row>
    <row r="10" spans="1:6" ht="45" x14ac:dyDescent="0.25">
      <c r="A10" s="90" t="s">
        <v>189</v>
      </c>
      <c r="B10" s="89" t="s">
        <v>329</v>
      </c>
      <c r="C10" s="105" t="s">
        <v>330</v>
      </c>
      <c r="D10" s="102" t="s">
        <v>351</v>
      </c>
      <c r="E10" s="102" t="s">
        <v>368</v>
      </c>
      <c r="F10" s="103" t="s">
        <v>345</v>
      </c>
    </row>
    <row r="11" spans="1:6" ht="45.75" thickBot="1" x14ac:dyDescent="0.3">
      <c r="A11" s="87" t="s">
        <v>190</v>
      </c>
      <c r="B11" s="88" t="s">
        <v>332</v>
      </c>
      <c r="C11" s="107" t="s">
        <v>331</v>
      </c>
      <c r="D11" s="102" t="s">
        <v>352</v>
      </c>
      <c r="E11" s="102" t="s">
        <v>369</v>
      </c>
      <c r="F11" s="103" t="s">
        <v>345</v>
      </c>
    </row>
    <row r="12" spans="1:6" ht="45.75" thickBot="1" x14ac:dyDescent="0.3">
      <c r="A12" s="149" t="s">
        <v>334</v>
      </c>
      <c r="B12" s="150"/>
      <c r="C12" s="150"/>
      <c r="D12" s="84" t="s">
        <v>342</v>
      </c>
      <c r="E12" s="84" t="s">
        <v>370</v>
      </c>
      <c r="F12" s="85" t="s">
        <v>345</v>
      </c>
    </row>
    <row r="13" spans="1:6" ht="45.75" thickBot="1" x14ac:dyDescent="0.3">
      <c r="A13" s="91" t="s">
        <v>321</v>
      </c>
      <c r="B13" s="92" t="s">
        <v>340</v>
      </c>
      <c r="C13" s="104" t="s">
        <v>314</v>
      </c>
      <c r="D13" s="84" t="s">
        <v>343</v>
      </c>
      <c r="E13" s="84" t="s">
        <v>371</v>
      </c>
      <c r="F13" s="85" t="s">
        <v>345</v>
      </c>
    </row>
    <row r="14" spans="1:6" ht="67.5" customHeight="1" x14ac:dyDescent="0.25">
      <c r="A14" s="89" t="s">
        <v>269</v>
      </c>
      <c r="B14" s="89" t="s">
        <v>322</v>
      </c>
      <c r="C14" s="105" t="s">
        <v>323</v>
      </c>
      <c r="D14" s="84" t="s">
        <v>344</v>
      </c>
      <c r="E14" s="84" t="s">
        <v>372</v>
      </c>
      <c r="F14" s="85" t="s">
        <v>345</v>
      </c>
    </row>
    <row r="15" spans="1:6" ht="30" x14ac:dyDescent="0.25">
      <c r="A15" s="84" t="s">
        <v>324</v>
      </c>
      <c r="B15" s="84" t="s">
        <v>325</v>
      </c>
      <c r="C15" s="85" t="s">
        <v>326</v>
      </c>
    </row>
    <row r="16" spans="1:6" ht="90.75" thickBot="1" x14ac:dyDescent="0.3">
      <c r="A16" s="88" t="s">
        <v>229</v>
      </c>
      <c r="B16" s="88" t="s">
        <v>327</v>
      </c>
      <c r="C16" s="87" t="s">
        <v>398</v>
      </c>
    </row>
    <row r="17" spans="1:3" ht="16.5" thickBot="1" x14ac:dyDescent="0.3">
      <c r="A17" s="91" t="s">
        <v>328</v>
      </c>
      <c r="B17" s="92" t="s">
        <v>340</v>
      </c>
      <c r="C17" s="93" t="s">
        <v>314</v>
      </c>
    </row>
    <row r="18" spans="1:3" ht="60" x14ac:dyDescent="0.25">
      <c r="A18" s="89" t="s">
        <v>349</v>
      </c>
      <c r="B18" s="89" t="s">
        <v>335</v>
      </c>
      <c r="C18" s="90" t="s">
        <v>337</v>
      </c>
    </row>
    <row r="19" spans="1:3" ht="60" x14ac:dyDescent="0.25">
      <c r="A19" s="88" t="s">
        <v>273</v>
      </c>
      <c r="B19" s="88" t="s">
        <v>336</v>
      </c>
      <c r="C19" s="87" t="s">
        <v>338</v>
      </c>
    </row>
    <row r="20" spans="1:3" ht="33.75" customHeight="1" x14ac:dyDescent="0.25"/>
    <row r="21" spans="1:3" ht="105.75" customHeight="1" x14ac:dyDescent="0.25"/>
  </sheetData>
  <sheetProtection password="C2EC" sheet="1" objects="1" scenarios="1" selectLockedCells="1" selectUnlockedCells="1"/>
  <mergeCells count="8">
    <mergeCell ref="A2:F2"/>
    <mergeCell ref="A1:F1"/>
    <mergeCell ref="D5:F6"/>
    <mergeCell ref="A12:C12"/>
    <mergeCell ref="D3:F3"/>
    <mergeCell ref="D4:F4"/>
    <mergeCell ref="A3:C3"/>
    <mergeCell ref="A4:C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2" tint="-0.89999084444715716"/>
  </sheetPr>
  <dimension ref="A1:S34"/>
  <sheetViews>
    <sheetView workbookViewId="0">
      <selection activeCell="Z41" sqref="Z41"/>
    </sheetView>
  </sheetViews>
  <sheetFormatPr defaultRowHeight="15" x14ac:dyDescent="0.25"/>
  <cols>
    <col min="1" max="1" width="32.85546875" bestFit="1" customWidth="1"/>
    <col min="2" max="4" width="10.85546875" customWidth="1"/>
    <col min="5" max="7" width="11.85546875" customWidth="1"/>
    <col min="8" max="8" width="12.5703125" customWidth="1"/>
    <col min="9" max="9" width="11.7109375" customWidth="1"/>
    <col min="10" max="10" width="12.85546875" customWidth="1"/>
    <col min="11" max="12" width="13.5703125" customWidth="1"/>
    <col min="13" max="13" width="11.85546875" customWidth="1"/>
    <col min="14" max="19" width="14.28515625" customWidth="1"/>
  </cols>
  <sheetData>
    <row r="1" spans="1:19" x14ac:dyDescent="0.25">
      <c r="B1" s="189" t="s">
        <v>184</v>
      </c>
      <c r="C1" s="189"/>
      <c r="D1" s="189"/>
      <c r="E1" s="189"/>
      <c r="F1" s="189"/>
      <c r="G1" s="189"/>
      <c r="H1" s="189" t="s">
        <v>105</v>
      </c>
      <c r="I1" s="189"/>
      <c r="J1" s="189"/>
      <c r="K1" s="189"/>
      <c r="L1" s="189"/>
      <c r="M1" s="189"/>
      <c r="N1" s="189" t="s">
        <v>108</v>
      </c>
      <c r="O1" s="189"/>
      <c r="P1" s="189"/>
      <c r="Q1" s="189"/>
      <c r="R1" s="189"/>
      <c r="S1" s="189"/>
    </row>
    <row r="2" spans="1:19" x14ac:dyDescent="0.25">
      <c r="B2" s="189" t="s">
        <v>186</v>
      </c>
      <c r="C2" s="189"/>
      <c r="D2" s="189"/>
      <c r="E2" s="189" t="s">
        <v>187</v>
      </c>
      <c r="F2" s="189"/>
      <c r="G2" s="189"/>
      <c r="H2" s="189" t="s">
        <v>185</v>
      </c>
      <c r="I2" s="189"/>
      <c r="J2" s="189"/>
      <c r="K2" s="189" t="s">
        <v>188</v>
      </c>
      <c r="L2" s="189"/>
      <c r="M2" s="189"/>
      <c r="N2" s="189" t="s">
        <v>185</v>
      </c>
      <c r="O2" s="189"/>
      <c r="P2" s="189"/>
      <c r="Q2" s="189" t="s">
        <v>188</v>
      </c>
      <c r="R2" s="189"/>
      <c r="S2" s="189"/>
    </row>
    <row r="3" spans="1:19" s="47" customFormat="1" x14ac:dyDescent="0.25">
      <c r="A3" s="47" t="s">
        <v>48</v>
      </c>
      <c r="B3" s="47" t="s">
        <v>183</v>
      </c>
      <c r="C3" s="47" t="s">
        <v>0</v>
      </c>
      <c r="D3" s="47" t="s">
        <v>1</v>
      </c>
      <c r="E3" s="47" t="s">
        <v>183</v>
      </c>
      <c r="F3" s="47" t="s">
        <v>0</v>
      </c>
      <c r="G3" s="47" t="s">
        <v>1</v>
      </c>
      <c r="H3" s="47" t="s">
        <v>183</v>
      </c>
      <c r="I3" s="47" t="s">
        <v>0</v>
      </c>
      <c r="J3" s="47" t="s">
        <v>1</v>
      </c>
      <c r="K3" s="47" t="s">
        <v>183</v>
      </c>
      <c r="L3" s="47" t="s">
        <v>0</v>
      </c>
      <c r="M3" s="47" t="s">
        <v>1</v>
      </c>
      <c r="N3" s="47" t="s">
        <v>183</v>
      </c>
      <c r="O3" s="47" t="s">
        <v>0</v>
      </c>
      <c r="P3" s="47" t="s">
        <v>1</v>
      </c>
      <c r="Q3" s="47" t="s">
        <v>183</v>
      </c>
      <c r="R3" s="47" t="s">
        <v>0</v>
      </c>
      <c r="S3" s="47" t="s">
        <v>1</v>
      </c>
    </row>
    <row r="4" spans="1:19" x14ac:dyDescent="0.25">
      <c r="A4" t="s">
        <v>87</v>
      </c>
      <c r="B4" s="6">
        <f>'270 Baseline RESULTS'!B4</f>
        <v>2.3216250557950877</v>
      </c>
      <c r="C4">
        <f>'270 Baseline RESULTS'!D4</f>
        <v>2.08</v>
      </c>
      <c r="D4" s="6">
        <f>'270 Baseline RESULTS'!F4</f>
        <v>1.4034076578721861</v>
      </c>
      <c r="E4">
        <f>'270 Baseline RESULTS'!C4</f>
        <v>0.84299999999999997</v>
      </c>
      <c r="F4">
        <f>'270 Baseline RESULTS'!E4</f>
        <v>0.45099999999999996</v>
      </c>
      <c r="G4">
        <f>'270 Baseline RESULTS'!G4</f>
        <v>0.43899999999999995</v>
      </c>
      <c r="H4" s="6">
        <f>'270 Baseline RESULTS'!X4</f>
        <v>0.96207989754024403</v>
      </c>
      <c r="I4" s="6">
        <f>'270 Baseline RESULTS'!Z4</f>
        <v>0.86195063319489429</v>
      </c>
      <c r="J4" s="6">
        <f>'270 Baseline RESULTS'!AB4</f>
        <v>0.58157121121802624</v>
      </c>
      <c r="K4" s="6">
        <f>'270 Baseline RESULTS'!Y4</f>
        <v>0.18251207925333812</v>
      </c>
      <c r="L4" s="6">
        <f>'270 Baseline RESULTS'!AA4</f>
        <v>9.7642879885237788E-2</v>
      </c>
      <c r="M4" s="6">
        <f>'270 Baseline RESULTS'!AC4</f>
        <v>9.5044843169887816E-2</v>
      </c>
      <c r="N4" s="6">
        <f>'270 Baseline RESULTS'!AD4</f>
        <v>1.8386899921864472</v>
      </c>
      <c r="O4" s="6">
        <f>'270 Baseline RESULTS'!AF4</f>
        <v>1.6473268042147491</v>
      </c>
      <c r="P4" s="6">
        <f>'270 Baseline RESULTS'!AH4</f>
        <v>1.1114764673332185</v>
      </c>
      <c r="Q4" s="6">
        <f>'270 Baseline RESULTS'!AE4</f>
        <v>0.43565315801577009</v>
      </c>
      <c r="R4" s="6">
        <f>'270 Baseline RESULTS'!AG4</f>
        <v>0.23307185559325302</v>
      </c>
      <c r="S4" s="6">
        <f>'270 Baseline RESULTS'!AI4</f>
        <v>0.22687038715174737</v>
      </c>
    </row>
    <row r="5" spans="1:19" x14ac:dyDescent="0.25">
      <c r="A5" t="s">
        <v>19</v>
      </c>
      <c r="B5" s="6">
        <f>'270 Baseline RESULTS'!B5</f>
        <v>4.6168892442124712</v>
      </c>
      <c r="C5">
        <f>'270 Baseline RESULTS'!D5</f>
        <v>4.1399999999999997</v>
      </c>
      <c r="D5" s="6">
        <f>'270 Baseline RESULTS'!F5</f>
        <v>2.6312275414955963</v>
      </c>
      <c r="E5">
        <f>'270 Baseline RESULTS'!C5</f>
        <v>0.89800000000000002</v>
      </c>
      <c r="F5">
        <f>'270 Baseline RESULTS'!E5</f>
        <v>0.63100000000000001</v>
      </c>
      <c r="G5">
        <f>'270 Baseline RESULTS'!G5</f>
        <v>0.65700000000000003</v>
      </c>
      <c r="H5" s="6">
        <f>'270 Baseline RESULTS'!X5</f>
        <v>3.5523067459886937</v>
      </c>
      <c r="I5" s="6">
        <f>'270 Baseline RESULTS'!Z5</f>
        <v>3.1853807077630623</v>
      </c>
      <c r="J5" s="6">
        <f>'270 Baseline RESULTS'!AB5</f>
        <v>2.0245075962354844</v>
      </c>
      <c r="K5" s="6">
        <f>'270 Baseline RESULTS'!Y5</f>
        <v>0.37213060990818037</v>
      </c>
      <c r="L5" s="6">
        <f>'270 Baseline RESULTS'!AA5</f>
        <v>0.26148598535864342</v>
      </c>
      <c r="M5" s="6">
        <f>'270 Baseline RESULTS'!AC5</f>
        <v>0.27226036827357963</v>
      </c>
      <c r="N5" s="6">
        <f>'270 Baseline RESULTS'!AD5</f>
        <v>4.4407696521172859</v>
      </c>
      <c r="O5" s="6">
        <f>'270 Baseline RESULTS'!AF5</f>
        <v>3.9820722108098909</v>
      </c>
      <c r="P5" s="6">
        <f>'270 Baseline RESULTS'!AH5</f>
        <v>2.5308546070790445</v>
      </c>
      <c r="Q5" s="6">
        <f>'270 Baseline RESULTS'!AE5</f>
        <v>0.71120166835809839</v>
      </c>
      <c r="R5" s="6">
        <f>'270 Baseline RESULTS'!AG5</f>
        <v>0.4997419295478398</v>
      </c>
      <c r="S5" s="6">
        <f>'270 Baseline RESULTS'!AI5</f>
        <v>0.52033351460052413</v>
      </c>
    </row>
    <row r="6" spans="1:19" x14ac:dyDescent="0.25">
      <c r="A6" t="s">
        <v>20</v>
      </c>
      <c r="B6" s="6">
        <f>'270 Baseline RESULTS'!B6</f>
        <v>83.668249224423491</v>
      </c>
      <c r="C6">
        <f>'270 Baseline RESULTS'!D6</f>
        <v>68.47</v>
      </c>
      <c r="D6" s="6">
        <f>'270 Baseline RESULTS'!F6</f>
        <v>54.938114792946536</v>
      </c>
      <c r="E6">
        <f>'270 Baseline RESULTS'!C6</f>
        <v>7.141</v>
      </c>
      <c r="F6">
        <f>'270 Baseline RESULTS'!E6</f>
        <v>5.1070000000000002</v>
      </c>
      <c r="G6">
        <f>'270 Baseline RESULTS'!G6</f>
        <v>5.0540000000000003</v>
      </c>
      <c r="H6" s="6">
        <f>'270 Baseline RESULTS'!X6</f>
        <v>1.1597525700529587</v>
      </c>
      <c r="I6" s="6">
        <f>'270 Baseline RESULTS'!Z6</f>
        <v>0.94908473892562029</v>
      </c>
      <c r="J6" s="6">
        <f>'270 Baseline RESULTS'!AB6</f>
        <v>0.76151491653759962</v>
      </c>
      <c r="K6" s="6">
        <f>'270 Baseline RESULTS'!Y6</f>
        <v>9.8983702653247185E-2</v>
      </c>
      <c r="L6" s="6">
        <f>'270 Baseline RESULTS'!AA6</f>
        <v>7.0789773064015904E-2</v>
      </c>
      <c r="M6" s="6">
        <f>'270 Baseline RESULTS'!AC6</f>
        <v>7.0055122981306894E-2</v>
      </c>
      <c r="N6" s="6">
        <f>'270 Baseline RESULTS'!AD6</f>
        <v>3.3026781901708091</v>
      </c>
      <c r="O6" s="6">
        <f>'270 Baseline RESULTS'!AF6</f>
        <v>2.7027501803513871</v>
      </c>
      <c r="P6" s="6">
        <f>'270 Baseline RESULTS'!AH6</f>
        <v>2.1685993816971134</v>
      </c>
      <c r="Q6" s="6">
        <f>'270 Baseline RESULTS'!AE6</f>
        <v>0.28188022546939173</v>
      </c>
      <c r="R6" s="6">
        <f>'270 Baseline RESULTS'!AG6</f>
        <v>0.20159113730180422</v>
      </c>
      <c r="S6" s="6">
        <f>'270 Baseline RESULTS'!AI6</f>
        <v>0.19949904208406455</v>
      </c>
    </row>
    <row r="7" spans="1:19" x14ac:dyDescent="0.25">
      <c r="A7" t="s">
        <v>21</v>
      </c>
      <c r="B7" s="6">
        <f>'270 Baseline RESULTS'!B7</f>
        <v>4.3049020286303765</v>
      </c>
      <c r="C7">
        <f>'270 Baseline RESULTS'!D7</f>
        <v>4.05</v>
      </c>
      <c r="D7" s="6">
        <f>'270 Baseline RESULTS'!F7</f>
        <v>2.8020044995700402</v>
      </c>
      <c r="E7">
        <f>'270 Baseline RESULTS'!C7</f>
        <v>0.98599999999999999</v>
      </c>
      <c r="F7">
        <f>'270 Baseline RESULTS'!E7</f>
        <v>0.58399999999999996</v>
      </c>
      <c r="G7">
        <f>'270 Baseline RESULTS'!G7</f>
        <v>0.57699999999999996</v>
      </c>
      <c r="H7" s="6">
        <f>'270 Baseline RESULTS'!X7</f>
        <v>1.7839485718365089</v>
      </c>
      <c r="I7" s="6">
        <f>'270 Baseline RESULTS'!Z7</f>
        <v>1.678317338672751</v>
      </c>
      <c r="J7" s="6">
        <f>'270 Baseline RESULTS'!AB7</f>
        <v>1.1611488233746823</v>
      </c>
      <c r="K7" s="6">
        <f>'270 Baseline RESULTS'!Y7</f>
        <v>0.21347201677792571</v>
      </c>
      <c r="L7" s="6">
        <f>'270 Baseline RESULTS'!AA7</f>
        <v>0.12643778681370044</v>
      </c>
      <c r="M7" s="6">
        <f>'270 Baseline RESULTS'!AC7</f>
        <v>0.12492226539641288</v>
      </c>
      <c r="N7" s="6">
        <f>'270 Baseline RESULTS'!AD7</f>
        <v>3.4094137025390716</v>
      </c>
      <c r="O7" s="6">
        <f>'270 Baseline RESULTS'!AF7</f>
        <v>3.2075353639758335</v>
      </c>
      <c r="P7" s="6">
        <f>'270 Baseline RESULTS'!AH7</f>
        <v>2.2191428450346451</v>
      </c>
      <c r="Q7" s="6">
        <f>'270 Baseline RESULTS'!AE7</f>
        <v>0.5095539902770454</v>
      </c>
      <c r="R7" s="6">
        <f>'270 Baseline RESULTS'!AG7</f>
        <v>0.30180479748660699</v>
      </c>
      <c r="S7" s="6">
        <f>'270 Baseline RESULTS'!AI7</f>
        <v>0.29818727422906205</v>
      </c>
    </row>
    <row r="8" spans="1:19" x14ac:dyDescent="0.25">
      <c r="A8" t="s">
        <v>22</v>
      </c>
      <c r="B8" s="6">
        <f>'270 Baseline RESULTS'!B8</f>
        <v>9.3816830140840519</v>
      </c>
      <c r="C8">
        <f>'270 Baseline RESULTS'!D8</f>
        <v>7.03</v>
      </c>
      <c r="D8" s="6">
        <f>'270 Baseline RESULTS'!F8</f>
        <v>5.1079674848032308</v>
      </c>
      <c r="E8">
        <f>'270 Baseline RESULTS'!C8</f>
        <v>1.0009999999999999</v>
      </c>
      <c r="F8">
        <f>'270 Baseline RESULTS'!E8</f>
        <v>0.61599999999999999</v>
      </c>
      <c r="G8">
        <f>'270 Baseline RESULTS'!G8</f>
        <v>0.6</v>
      </c>
      <c r="H8" s="6">
        <f>'270 Baseline RESULTS'!X8</f>
        <v>1.0532634077906842</v>
      </c>
      <c r="I8" s="6">
        <f>'270 Baseline RESULTS'!Z8</f>
        <v>0.78924450396082957</v>
      </c>
      <c r="J8" s="6">
        <f>'270 Baseline RESULTS'!AB8</f>
        <v>0.5734616306958138</v>
      </c>
      <c r="K8" s="6">
        <f>'270 Baseline RESULTS'!Y8</f>
        <v>6.9744673114806477E-2</v>
      </c>
      <c r="L8" s="6">
        <f>'270 Baseline RESULTS'!AA8</f>
        <v>4.2919798839880841E-2</v>
      </c>
      <c r="M8" s="6">
        <f>'270 Baseline RESULTS'!AC8</f>
        <v>4.1804998870013876E-2</v>
      </c>
      <c r="N8" s="6">
        <f>'270 Baseline RESULTS'!AD8</f>
        <v>2.8239996686792086</v>
      </c>
      <c r="O8" s="6">
        <f>'270 Baseline RESULTS'!AF8</f>
        <v>2.1161147355982255</v>
      </c>
      <c r="P8" s="6">
        <f>'270 Baseline RESULTS'!AH8</f>
        <v>1.5375597814436306</v>
      </c>
      <c r="Q8" s="6">
        <f>'270 Baseline RESULTS'!AE8</f>
        <v>0.17764943902506258</v>
      </c>
      <c r="R8" s="6">
        <f>'270 Baseline RESULTS'!AG8</f>
        <v>0.10932273170773088</v>
      </c>
      <c r="S8" s="6">
        <f>'270 Baseline RESULTS'!AI8</f>
        <v>0.10648318023480274</v>
      </c>
    </row>
    <row r="9" spans="1:19" x14ac:dyDescent="0.25">
      <c r="A9" t="s">
        <v>23</v>
      </c>
      <c r="B9" s="6">
        <f>'270 Baseline RESULTS'!B9</f>
        <v>2.5805381408189083</v>
      </c>
      <c r="C9">
        <f>'270 Baseline RESULTS'!D9</f>
        <v>2.4300000000000002</v>
      </c>
      <c r="D9" s="6">
        <f>'270 Baseline RESULTS'!F9</f>
        <v>1.5948022294521682</v>
      </c>
      <c r="E9">
        <f>'270 Baseline RESULTS'!C9</f>
        <v>1.107</v>
      </c>
      <c r="F9">
        <f>'270 Baseline RESULTS'!E9</f>
        <v>0.54299999999999993</v>
      </c>
      <c r="G9">
        <f>'270 Baseline RESULTS'!G9</f>
        <v>0.48299999999999998</v>
      </c>
      <c r="H9" s="6">
        <f>'270 Baseline RESULTS'!X9</f>
        <v>2.5805381408189083</v>
      </c>
      <c r="I9" s="6">
        <f>'270 Baseline RESULTS'!Z9</f>
        <v>2.4300000000000002</v>
      </c>
      <c r="J9" s="6">
        <f>'270 Baseline RESULTS'!AB9</f>
        <v>1.5948022294521682</v>
      </c>
      <c r="K9" s="6">
        <f>'270 Baseline RESULTS'!Y9</f>
        <v>0.85174310229316674</v>
      </c>
      <c r="L9" s="6">
        <f>'270 Baseline RESULTS'!AA9</f>
        <v>0.41779268703269146</v>
      </c>
      <c r="M9" s="6">
        <f>'270 Baseline RESULTS'!AC9</f>
        <v>0.37162774923902397</v>
      </c>
      <c r="N9" s="6">
        <f>'270 Baseline RESULTS'!AD9</f>
        <v>2.5805381408189083</v>
      </c>
      <c r="O9" s="6">
        <f>'270 Baseline RESULTS'!AF9</f>
        <v>2.4300000000000002</v>
      </c>
      <c r="P9" s="6">
        <f>'270 Baseline RESULTS'!AH9</f>
        <v>1.5948022294521682</v>
      </c>
      <c r="Q9" s="6">
        <f>'270 Baseline RESULTS'!AE9</f>
        <v>1.0647714824556882</v>
      </c>
      <c r="R9" s="6">
        <f>'270 Baseline RESULTS'!AG9</f>
        <v>0.52228628272216682</v>
      </c>
      <c r="S9" s="6">
        <f>'270 Baseline RESULTS'!AI9</f>
        <v>0.46457509126115398</v>
      </c>
    </row>
    <row r="10" spans="1:19" x14ac:dyDescent="0.25">
      <c r="A10" t="s">
        <v>88</v>
      </c>
      <c r="B10" s="6">
        <f>'270 Baseline RESULTS'!B10</f>
        <v>5.4453685107067944</v>
      </c>
      <c r="C10">
        <f>'270 Baseline RESULTS'!D10</f>
        <v>4.21</v>
      </c>
      <c r="D10" s="6">
        <f>'270 Baseline RESULTS'!F10</f>
        <v>2.9470439499504772</v>
      </c>
      <c r="E10">
        <f>'270 Baseline RESULTS'!C10</f>
        <v>0.69400000000000006</v>
      </c>
      <c r="F10">
        <f>'270 Baseline RESULTS'!E10</f>
        <v>0.39600000000000002</v>
      </c>
      <c r="G10">
        <f>'270 Baseline RESULTS'!G10</f>
        <v>0.38500000000000001</v>
      </c>
      <c r="H10" s="6">
        <f>'270 Baseline RESULTS'!X10</f>
        <v>1.178938943285587</v>
      </c>
      <c r="I10" s="6">
        <f>'270 Baseline RESULTS'!Z10</f>
        <v>0.91147788096862792</v>
      </c>
      <c r="J10" s="6">
        <f>'270 Baseline RESULTS'!AB10</f>
        <v>0.63804403197678772</v>
      </c>
      <c r="K10" s="6">
        <f>'270 Baseline RESULTS'!Y10</f>
        <v>7.7914037802107483E-2</v>
      </c>
      <c r="L10" s="6">
        <f>'270 Baseline RESULTS'!AA10</f>
        <v>4.4458154134920103E-2</v>
      </c>
      <c r="M10" s="6">
        <f>'270 Baseline RESULTS'!AC10</f>
        <v>4.3223205408950138E-2</v>
      </c>
      <c r="N10" s="6">
        <f>'270 Baseline RESULTS'!AD10</f>
        <v>2.8141067476263886</v>
      </c>
      <c r="O10" s="6">
        <f>'270 Baseline RESULTS'!AF10</f>
        <v>2.1756818448948896</v>
      </c>
      <c r="P10" s="6">
        <f>'270 Baseline RESULTS'!AH10</f>
        <v>1.5230000042789971</v>
      </c>
      <c r="Q10" s="6">
        <f>'270 Baseline RESULTS'!AE10</f>
        <v>0.20890236507897136</v>
      </c>
      <c r="R10" s="6">
        <f>'270 Baseline RESULTS'!AG10</f>
        <v>0.11920077315745342</v>
      </c>
      <c r="S10" s="6">
        <f>'270 Baseline RESULTS'!AI10</f>
        <v>0.11588964056974638</v>
      </c>
    </row>
    <row r="11" spans="1:19" x14ac:dyDescent="0.25">
      <c r="A11" t="s">
        <v>89</v>
      </c>
      <c r="B11" s="6">
        <f>'270 Baseline RESULTS'!B11</f>
        <v>5.8829573079627666</v>
      </c>
      <c r="C11">
        <f>'270 Baseline RESULTS'!D11</f>
        <v>5.01</v>
      </c>
      <c r="D11" s="6">
        <f>'270 Baseline RESULTS'!F11</f>
        <v>3.3771206563155802</v>
      </c>
      <c r="E11">
        <f>'270 Baseline RESULTS'!C11</f>
        <v>0.89700000000000002</v>
      </c>
      <c r="F11">
        <f>'270 Baseline RESULTS'!E11</f>
        <v>0.51400000000000001</v>
      </c>
      <c r="G11">
        <f>'270 Baseline RESULTS'!G11</f>
        <v>0.503</v>
      </c>
      <c r="H11" s="6">
        <f>'270 Baseline RESULTS'!X11</f>
        <v>1.2736782567436595</v>
      </c>
      <c r="I11" s="6">
        <f>'270 Baseline RESULTS'!Z11</f>
        <v>1.0846803286586284</v>
      </c>
      <c r="J11" s="6">
        <f>'270 Baseline RESULTS'!AB11</f>
        <v>0.73115695477289977</v>
      </c>
      <c r="K11" s="6">
        <f>'270 Baseline RESULTS'!Y11</f>
        <v>0.10070445519955384</v>
      </c>
      <c r="L11" s="6">
        <f>'270 Baseline RESULTS'!AA11</f>
        <v>5.770578592259834E-2</v>
      </c>
      <c r="M11" s="6">
        <f>'270 Baseline RESULTS'!AC11</f>
        <v>5.6470837196628321E-2</v>
      </c>
      <c r="N11" s="6">
        <f>'270 Baseline RESULTS'!AD11</f>
        <v>3.0402478406713316</v>
      </c>
      <c r="O11" s="6">
        <f>'270 Baseline RESULTS'!AF11</f>
        <v>2.5891130743285977</v>
      </c>
      <c r="P11" s="6">
        <f>'270 Baseline RESULTS'!AH11</f>
        <v>1.7452589311081526</v>
      </c>
      <c r="Q11" s="6">
        <f>'270 Baseline RESULTS'!AE11</f>
        <v>0.27000781192483758</v>
      </c>
      <c r="R11" s="6">
        <f>'270 Baseline RESULTS'!AG11</f>
        <v>0.1547201954619471</v>
      </c>
      <c r="S11" s="6">
        <f>'270 Baseline RESULTS'!AI11</f>
        <v>0.15140906287424005</v>
      </c>
    </row>
    <row r="12" spans="1:19" x14ac:dyDescent="0.25">
      <c r="A12" t="s">
        <v>26</v>
      </c>
      <c r="B12" s="6">
        <f>'270 Baseline RESULTS'!B12</f>
        <v>4.585961134098115</v>
      </c>
      <c r="C12">
        <f>'270 Baseline RESULTS'!D12</f>
        <v>4.3899999999999997</v>
      </c>
      <c r="D12" s="6">
        <f>'270 Baseline RESULTS'!F12</f>
        <v>3.643883915453396</v>
      </c>
      <c r="E12">
        <f>'270 Baseline RESULTS'!C12</f>
        <v>0.84499999999999997</v>
      </c>
      <c r="F12">
        <f>'270 Baseline RESULTS'!E12</f>
        <v>0.47199999999999998</v>
      </c>
      <c r="G12">
        <f>'270 Baseline RESULTS'!G12</f>
        <v>0.47699999999999998</v>
      </c>
      <c r="H12" s="6">
        <f>'270 Baseline RESULTS'!X12</f>
        <v>0.51485698726385642</v>
      </c>
      <c r="I12" s="6">
        <f>'270 Baseline RESULTS'!Z12</f>
        <v>0.49285680972802837</v>
      </c>
      <c r="J12" s="6">
        <f>'270 Baseline RESULTS'!AB12</f>
        <v>0.40909179990652333</v>
      </c>
      <c r="K12" s="6">
        <f>'270 Baseline RESULTS'!Y12</f>
        <v>5.8875373408602827E-2</v>
      </c>
      <c r="L12" s="6">
        <f>'270 Baseline RESULTS'!AA12</f>
        <v>3.2886599111077552E-2</v>
      </c>
      <c r="M12" s="6">
        <f>'270 Baseline RESULTS'!AC12</f>
        <v>3.3234974101660986E-2</v>
      </c>
      <c r="N12" s="6">
        <f>'270 Baseline RESULTS'!AD12</f>
        <v>1.3804295779154723</v>
      </c>
      <c r="O12" s="6">
        <f>'270 Baseline RESULTS'!AF12</f>
        <v>1.3214429145485362</v>
      </c>
      <c r="P12" s="6">
        <f>'270 Baseline RESULTS'!AH12</f>
        <v>1.0968529798435691</v>
      </c>
      <c r="Q12" s="6">
        <f>'270 Baseline RESULTS'!AE12</f>
        <v>0.14996381216401389</v>
      </c>
      <c r="R12" s="6">
        <f>'270 Baseline RESULTS'!AG12</f>
        <v>8.3766768451378149E-2</v>
      </c>
      <c r="S12" s="6">
        <f>'270 Baseline RESULTS'!AI12</f>
        <v>8.4654128286668184E-2</v>
      </c>
    </row>
    <row r="13" spans="1:19" x14ac:dyDescent="0.25">
      <c r="A13" t="s">
        <v>27</v>
      </c>
      <c r="B13" s="6">
        <f>'270 Baseline RESULTS'!B13</f>
        <v>8.5021079033990983</v>
      </c>
      <c r="C13">
        <f>'270 Baseline RESULTS'!D13</f>
        <v>6.16</v>
      </c>
      <c r="D13" s="6">
        <f>'270 Baseline RESULTS'!F13</f>
        <v>4.5662405837813997</v>
      </c>
      <c r="E13">
        <f>'270 Baseline RESULTS'!C13</f>
        <v>0.91700000000000004</v>
      </c>
      <c r="F13">
        <f>'270 Baseline RESULTS'!E13</f>
        <v>0.54900000000000004</v>
      </c>
      <c r="G13">
        <f>'270 Baseline RESULTS'!G13</f>
        <v>0.53800000000000003</v>
      </c>
      <c r="H13" s="6">
        <f>'270 Baseline RESULTS'!X13</f>
        <v>0.95451521121474681</v>
      </c>
      <c r="I13" s="6">
        <f>'270 Baseline RESULTS'!Z13</f>
        <v>0.69157128654320221</v>
      </c>
      <c r="J13" s="6">
        <f>'270 Baseline RESULTS'!AB13</f>
        <v>0.5126429992193966</v>
      </c>
      <c r="K13" s="6">
        <f>'270 Baseline RESULTS'!Y13</f>
        <v>6.3891973273004554E-2</v>
      </c>
      <c r="L13" s="6">
        <f>'270 Baseline RESULTS'!AA13</f>
        <v>3.8251573966062713E-2</v>
      </c>
      <c r="M13" s="6">
        <f>'270 Baseline RESULTS'!AC13</f>
        <v>3.7485148986779127E-2</v>
      </c>
      <c r="N13" s="6">
        <f>'270 Baseline RESULTS'!AD13</f>
        <v>2.5592369584678476</v>
      </c>
      <c r="O13" s="6">
        <f>'270 Baseline RESULTS'!AF13</f>
        <v>1.854234249115942</v>
      </c>
      <c r="P13" s="6">
        <f>'270 Baseline RESULTS'!AH13</f>
        <v>1.3744934545699095</v>
      </c>
      <c r="Q13" s="6">
        <f>'270 Baseline RESULTS'!AE13</f>
        <v>0.16274179379219023</v>
      </c>
      <c r="R13" s="6">
        <f>'270 Baseline RESULTS'!AG13</f>
        <v>9.7432109914844522E-2</v>
      </c>
      <c r="S13" s="6">
        <f>'270 Baseline RESULTS'!AI13</f>
        <v>9.5479918277206477E-2</v>
      </c>
    </row>
    <row r="14" spans="1:19" x14ac:dyDescent="0.25">
      <c r="A14" t="s">
        <v>28</v>
      </c>
      <c r="B14" s="6">
        <f>'270 Baseline RESULTS'!B14</f>
        <v>1.2347843910974303</v>
      </c>
      <c r="C14">
        <f>'270 Baseline RESULTS'!D14</f>
        <v>1.23</v>
      </c>
      <c r="D14" s="6">
        <f>'270 Baseline RESULTS'!F14</f>
        <v>1.1979283583795115</v>
      </c>
      <c r="E14">
        <f>'270 Baseline RESULTS'!C14</f>
        <v>0.38200000000000001</v>
      </c>
      <c r="F14">
        <f>'270 Baseline RESULTS'!E14</f>
        <v>0.16999999999999998</v>
      </c>
      <c r="G14">
        <f>'270 Baseline RESULTS'!G14</f>
        <v>0.185</v>
      </c>
      <c r="H14" s="6">
        <f>'270 Baseline RESULTS'!X14</f>
        <v>1.2347843910974303</v>
      </c>
      <c r="I14" s="6">
        <f>'270 Baseline RESULTS'!Z14</f>
        <v>1.23</v>
      </c>
      <c r="J14" s="6">
        <f>'270 Baseline RESULTS'!AB14</f>
        <v>1.1979283583795115</v>
      </c>
      <c r="K14" s="6">
        <f>'270 Baseline RESULTS'!Y14</f>
        <v>0.29391677061968358</v>
      </c>
      <c r="L14" s="6">
        <f>'270 Baseline RESULTS'!AA14</f>
        <v>0.13080065708205812</v>
      </c>
      <c r="M14" s="6">
        <f>'270 Baseline RESULTS'!AC14</f>
        <v>0.14234189153047502</v>
      </c>
      <c r="N14" s="6">
        <f>'270 Baseline RESULTS'!AD14</f>
        <v>1.2347843910974303</v>
      </c>
      <c r="O14" s="6">
        <f>'270 Baseline RESULTS'!AF14</f>
        <v>1.23</v>
      </c>
      <c r="P14" s="6">
        <f>'270 Baseline RESULTS'!AH14</f>
        <v>1.1979283583795115</v>
      </c>
      <c r="Q14" s="6">
        <f>'270 Baseline RESULTS'!AE14</f>
        <v>0.3674279189684489</v>
      </c>
      <c r="R14" s="6">
        <f>'270 Baseline RESULTS'!AG14</f>
        <v>0.16351504247286991</v>
      </c>
      <c r="S14" s="6">
        <f>'270 Baseline RESULTS'!AI14</f>
        <v>0.17794284033812316</v>
      </c>
    </row>
    <row r="15" spans="1:19" x14ac:dyDescent="0.25">
      <c r="A15" t="s">
        <v>29</v>
      </c>
      <c r="B15" s="6">
        <f>'270 Baseline RESULTS'!B15</f>
        <v>6.5577265078627072</v>
      </c>
      <c r="C15">
        <f>'270 Baseline RESULTS'!D15</f>
        <v>5.24</v>
      </c>
      <c r="D15" s="6">
        <f>'270 Baseline RESULTS'!F15</f>
        <v>3.5188055510556269</v>
      </c>
      <c r="E15">
        <f>'270 Baseline RESULTS'!C15</f>
        <v>0.98299999999999998</v>
      </c>
      <c r="F15">
        <f>'270 Baseline RESULTS'!E15</f>
        <v>0.52800000000000002</v>
      </c>
      <c r="G15">
        <f>'270 Baseline RESULTS'!G15</f>
        <v>0.496</v>
      </c>
      <c r="H15" s="6">
        <f>'270 Baseline RESULTS'!X15</f>
        <v>1.4197678530542754</v>
      </c>
      <c r="I15" s="6">
        <f>'270 Baseline RESULTS'!Z15</f>
        <v>1.1344760323695038</v>
      </c>
      <c r="J15" s="6">
        <f>'270 Baseline RESULTS'!AB15</f>
        <v>0.76183216798499487</v>
      </c>
      <c r="K15" s="6">
        <f>'270 Baseline RESULTS'!Y15</f>
        <v>0.11035950887531942</v>
      </c>
      <c r="L15" s="6">
        <f>'270 Baseline RESULTS'!AA15</f>
        <v>5.9277538846560174E-2</v>
      </c>
      <c r="M15" s="6">
        <f>'270 Baseline RESULTS'!AC15</f>
        <v>5.5684960734647404E-2</v>
      </c>
      <c r="N15" s="6">
        <f>'270 Baseline RESULTS'!AD15</f>
        <v>3.3889611655446217</v>
      </c>
      <c r="O15" s="6">
        <f>'270 Baseline RESULTS'!AF15</f>
        <v>2.7079745527907892</v>
      </c>
      <c r="P15" s="6">
        <f>'270 Baseline RESULTS'!AH15</f>
        <v>1.8184801313888563</v>
      </c>
      <c r="Q15" s="6">
        <f>'270 Baseline RESULTS'!AE15</f>
        <v>0.2958948485196381</v>
      </c>
      <c r="R15" s="6">
        <f>'270 Baseline RESULTS'!AG15</f>
        <v>0.15893436420993784</v>
      </c>
      <c r="S15" s="6">
        <f>'270 Baseline RESULTS'!AI15</f>
        <v>0.14930197850024463</v>
      </c>
    </row>
    <row r="16" spans="1:19" x14ac:dyDescent="0.25">
      <c r="A16" t="s">
        <v>30</v>
      </c>
      <c r="B16" s="6">
        <f>'270 Baseline RESULTS'!B16</f>
        <v>2.1005395243899505</v>
      </c>
      <c r="C16">
        <f>'270 Baseline RESULTS'!D16</f>
        <v>2.08</v>
      </c>
      <c r="D16" s="6">
        <f>'270 Baseline RESULTS'!F16</f>
        <v>1.9462383465080284</v>
      </c>
      <c r="E16">
        <f>'270 Baseline RESULTS'!C16</f>
        <v>0.61599999999999999</v>
      </c>
      <c r="F16">
        <f>'270 Baseline RESULTS'!E16</f>
        <v>0.29700000000000004</v>
      </c>
      <c r="G16">
        <f>'270 Baseline RESULTS'!G16</f>
        <v>0.30399999999999999</v>
      </c>
      <c r="H16" s="6">
        <f>'270 Baseline RESULTS'!X16</f>
        <v>0.87046219860520191</v>
      </c>
      <c r="I16" s="6">
        <f>'270 Baseline RESULTS'!Z16</f>
        <v>0.86195063319489429</v>
      </c>
      <c r="J16" s="6">
        <f>'270 Baseline RESULTS'!AB16</f>
        <v>0.80651989188499007</v>
      </c>
      <c r="K16" s="6">
        <f>'270 Baseline RESULTS'!Y16</f>
        <v>0.13336588472130045</v>
      </c>
      <c r="L16" s="6">
        <f>'270 Baseline RESULTS'!AA16</f>
        <v>6.4301408704912716E-2</v>
      </c>
      <c r="M16" s="6">
        <f>'270 Baseline RESULTS'!AC16</f>
        <v>6.5816930122200218E-2</v>
      </c>
      <c r="N16" s="6">
        <f>'270 Baseline RESULTS'!AD16</f>
        <v>1.6635937797308011</v>
      </c>
      <c r="O16" s="6">
        <f>'270 Baseline RESULTS'!AF16</f>
        <v>1.6473268042147491</v>
      </c>
      <c r="P16" s="6">
        <f>'270 Baseline RESULTS'!AH16</f>
        <v>1.5413897094198403</v>
      </c>
      <c r="Q16" s="6">
        <f>'270 Baseline RESULTS'!AE16</f>
        <v>0.31834204666395538</v>
      </c>
      <c r="R16" s="6">
        <f>'270 Baseline RESULTS'!AG16</f>
        <v>0.15348634392726421</v>
      </c>
      <c r="S16" s="6">
        <f>'270 Baseline RESULTS'!AI16</f>
        <v>0.15710386718480915</v>
      </c>
    </row>
    <row r="17" spans="1:19" x14ac:dyDescent="0.25">
      <c r="A17" t="s">
        <v>90</v>
      </c>
      <c r="B17" s="6">
        <f>'270 Baseline RESULTS'!B17</f>
        <v>6.6632150657730485</v>
      </c>
      <c r="C17">
        <f>'270 Baseline RESULTS'!D17</f>
        <v>5.0199999999999996</v>
      </c>
      <c r="D17" s="6">
        <f>'270 Baseline RESULTS'!F17</f>
        <v>3.5451155362553388</v>
      </c>
      <c r="E17">
        <f>'270 Baseline RESULTS'!C17</f>
        <v>0.623</v>
      </c>
      <c r="F17">
        <f>'270 Baseline RESULTS'!E17</f>
        <v>0.437</v>
      </c>
      <c r="G17">
        <f>'270 Baseline RESULTS'!G17</f>
        <v>0.45</v>
      </c>
      <c r="H17" s="6">
        <f>'270 Baseline RESULTS'!X17</f>
        <v>2.7612319447388649</v>
      </c>
      <c r="I17" s="6">
        <f>'270 Baseline RESULTS'!Z17</f>
        <v>2.0802847012684467</v>
      </c>
      <c r="J17" s="6">
        <f>'270 Baseline RESULTS'!AB17</f>
        <v>1.4690935486655512</v>
      </c>
      <c r="K17" s="6">
        <f>'270 Baseline RESULTS'!Y17</f>
        <v>0.13488140613858796</v>
      </c>
      <c r="L17" s="6">
        <f>'270 Baseline RESULTS'!AA17</f>
        <v>9.4611837050662839E-2</v>
      </c>
      <c r="M17" s="6">
        <f>'270 Baseline RESULTS'!AC17</f>
        <v>9.7426376825625327E-2</v>
      </c>
      <c r="N17" s="6">
        <f>'270 Baseline RESULTS'!AD17</f>
        <v>5.2771599904305218</v>
      </c>
      <c r="O17" s="6">
        <f>'270 Baseline RESULTS'!AF17</f>
        <v>3.9757598832490579</v>
      </c>
      <c r="P17" s="6">
        <f>'270 Baseline RESULTS'!AH17</f>
        <v>2.8076749263997902</v>
      </c>
      <c r="Q17" s="6">
        <f>'270 Baseline RESULTS'!AE17</f>
        <v>0.32195956992150032</v>
      </c>
      <c r="R17" s="6">
        <f>'270 Baseline RESULTS'!AG17</f>
        <v>0.22583680907816314</v>
      </c>
      <c r="S17" s="6">
        <f>'270 Baseline RESULTS'!AI17</f>
        <v>0.23255506655646091</v>
      </c>
    </row>
    <row r="18" spans="1:19" x14ac:dyDescent="0.25">
      <c r="A18" t="s">
        <v>91</v>
      </c>
      <c r="B18" s="6">
        <f>'270 Baseline RESULTS'!B18</f>
        <v>3.0037559179361843</v>
      </c>
      <c r="C18">
        <f>'270 Baseline RESULTS'!D18</f>
        <v>2.84</v>
      </c>
      <c r="D18" s="6">
        <f>'270 Baseline RESULTS'!F18</f>
        <v>2.4157818096194306</v>
      </c>
      <c r="E18">
        <f>'270 Baseline RESULTS'!C18</f>
        <v>0.751</v>
      </c>
      <c r="F18">
        <f>'270 Baseline RESULTS'!E18</f>
        <v>0.33199999999999996</v>
      </c>
      <c r="G18">
        <f>'270 Baseline RESULTS'!G18</f>
        <v>0.309</v>
      </c>
      <c r="H18" s="6">
        <f>'270 Baseline RESULTS'!X18</f>
        <v>1.2447544785711564</v>
      </c>
      <c r="I18" s="6">
        <f>'270 Baseline RESULTS'!Z18</f>
        <v>1.1768941337853365</v>
      </c>
      <c r="J18" s="6">
        <f>'270 Baseline RESULTS'!AB18</f>
        <v>1.0010983944529692</v>
      </c>
      <c r="K18" s="6">
        <f>'270 Baseline RESULTS'!Y18</f>
        <v>0.16259379776898808</v>
      </c>
      <c r="L18" s="6">
        <f>'270 Baseline RESULTS'!AA18</f>
        <v>7.1879015791350254E-2</v>
      </c>
      <c r="M18" s="6">
        <f>'270 Baseline RESULTS'!AC18</f>
        <v>6.6899445420262715E-2</v>
      </c>
      <c r="N18" s="6">
        <f>'270 Baseline RESULTS'!AD18</f>
        <v>2.3789267485264207</v>
      </c>
      <c r="O18" s="6">
        <f>'270 Baseline RESULTS'!AF18</f>
        <v>2.249234674985523</v>
      </c>
      <c r="P18" s="6">
        <f>'270 Baseline RESULTS'!AH18</f>
        <v>1.9132606385194713</v>
      </c>
      <c r="Q18" s="6">
        <f>'270 Baseline RESULTS'!AE18</f>
        <v>0.38810856663089366</v>
      </c>
      <c r="R18" s="6">
        <f>'270 Baseline RESULTS'!AG18</f>
        <v>0.17157396021498891</v>
      </c>
      <c r="S18" s="6">
        <f>'270 Baseline RESULTS'!AI18</f>
        <v>0.1596878123687698</v>
      </c>
    </row>
    <row r="19" spans="1:19" x14ac:dyDescent="0.25">
      <c r="A19" t="s">
        <v>33</v>
      </c>
      <c r="B19" s="6">
        <f>'270 Baseline RESULTS'!B19</f>
        <v>17.543725422915319</v>
      </c>
      <c r="C19">
        <f>'270 Baseline RESULTS'!D19</f>
        <v>14.37</v>
      </c>
      <c r="D19" s="6">
        <f>'270 Baseline RESULTS'!F19</f>
        <v>11.076337433770142</v>
      </c>
      <c r="E19">
        <f>'270 Baseline RESULTS'!C19</f>
        <v>1.841</v>
      </c>
      <c r="F19">
        <f>'270 Baseline RESULTS'!E19</f>
        <v>1.1519999999999999</v>
      </c>
      <c r="G19">
        <f>'270 Baseline RESULTS'!G19</f>
        <v>1.1179999999999999</v>
      </c>
      <c r="H19" s="6">
        <f>'270 Baseline RESULTS'!X19</f>
        <v>0.24317923269738984</v>
      </c>
      <c r="I19" s="6">
        <f>'270 Baseline RESULTS'!Z19</f>
        <v>0.19918720167023807</v>
      </c>
      <c r="J19" s="6">
        <f>'270 Baseline RESULTS'!AB19</f>
        <v>0.15353268324203029</v>
      </c>
      <c r="K19" s="6">
        <f>'270 Baseline RESULTS'!Y19</f>
        <v>2.5518694382387519E-2</v>
      </c>
      <c r="L19" s="6">
        <f>'270 Baseline RESULTS'!AA19</f>
        <v>1.59682433071755E-2</v>
      </c>
      <c r="M19" s="6">
        <f>'270 Baseline RESULTS'!AC19</f>
        <v>1.5496958348456991E-2</v>
      </c>
      <c r="N19" s="6">
        <f>'270 Baseline RESULTS'!AD19</f>
        <v>0.6925121520493569</v>
      </c>
      <c r="O19" s="6">
        <f>'270 Baseline RESULTS'!AF19</f>
        <v>0.56723411847012351</v>
      </c>
      <c r="P19" s="6">
        <f>'270 Baseline RESULTS'!AH19</f>
        <v>0.43722174670300973</v>
      </c>
      <c r="Q19" s="6">
        <f>'270 Baseline RESULTS'!AE19</f>
        <v>7.2670703695441707E-2</v>
      </c>
      <c r="R19" s="6">
        <f>'270 Baseline RESULTS'!AG19</f>
        <v>4.5473465864828366E-2</v>
      </c>
      <c r="S19" s="6">
        <f>'270 Baseline RESULTS'!AI19</f>
        <v>4.4131367045901149E-2</v>
      </c>
    </row>
    <row r="20" spans="1:19" x14ac:dyDescent="0.25">
      <c r="A20" t="s">
        <v>34</v>
      </c>
      <c r="B20" s="6">
        <f>'270 Baseline RESULTS'!B20</f>
        <v>19.009705346657594</v>
      </c>
      <c r="C20">
        <f>'270 Baseline RESULTS'!D20</f>
        <v>16.21</v>
      </c>
      <c r="D20" s="6">
        <f>'270 Baseline RESULTS'!F20</f>
        <v>10.321275088122992</v>
      </c>
      <c r="E20">
        <f>'270 Baseline RESULTS'!C20</f>
        <v>2.5179999999999998</v>
      </c>
      <c r="F20">
        <f>'270 Baseline RESULTS'!E20</f>
        <v>1.7</v>
      </c>
      <c r="G20">
        <f>'270 Baseline RESULTS'!G20</f>
        <v>1.69</v>
      </c>
      <c r="H20" s="6">
        <f>'270 Baseline RESULTS'!X20</f>
        <v>4.1156593698834829</v>
      </c>
      <c r="I20" s="6">
        <f>'270 Baseline RESULTS'!Z20</f>
        <v>3.5095145963186365</v>
      </c>
      <c r="J20" s="6">
        <f>'270 Baseline RESULTS'!AB20</f>
        <v>2.23458763568091</v>
      </c>
      <c r="K20" s="6">
        <f>'270 Baseline RESULTS'!Y20</f>
        <v>0.28269099018113364</v>
      </c>
      <c r="L20" s="6">
        <f>'270 Baseline RESULTS'!AA20</f>
        <v>0.19085571219536401</v>
      </c>
      <c r="M20" s="6">
        <f>'270 Baseline RESULTS'!AC20</f>
        <v>0.18973303153539134</v>
      </c>
      <c r="N20" s="6">
        <f>'270 Baseline RESULTS'!AD20</f>
        <v>9.8240073158014827</v>
      </c>
      <c r="O20" s="6">
        <f>'270 Baseline RESULTS'!AF20</f>
        <v>8.3771502864005143</v>
      </c>
      <c r="P20" s="6">
        <f>'270 Baseline RESULTS'!AH20</f>
        <v>5.3339218112577429</v>
      </c>
      <c r="Q20" s="6">
        <f>'270 Baseline RESULTS'!AE20</f>
        <v>0.75794835053148391</v>
      </c>
      <c r="R20" s="6">
        <f>'270 Baseline RESULTS'!AG20</f>
        <v>0.5117204908274513</v>
      </c>
      <c r="S20" s="6">
        <f>'270 Baseline RESULTS'!AI20</f>
        <v>0.50871037029317234</v>
      </c>
    </row>
    <row r="21" spans="1:19" x14ac:dyDescent="0.25">
      <c r="A21" t="s">
        <v>92</v>
      </c>
      <c r="B21" s="6">
        <f>'270 Baseline RESULTS'!B21</f>
        <v>0.30383922534467556</v>
      </c>
      <c r="C21">
        <f>'270 Baseline RESULTS'!D21</f>
        <v>0.3</v>
      </c>
      <c r="D21" s="6">
        <f>'270 Baseline RESULTS'!F21</f>
        <v>0.27357280492596653</v>
      </c>
      <c r="E21">
        <f>'270 Baseline RESULTS'!C21</f>
        <v>0.39500000000000002</v>
      </c>
      <c r="F21">
        <f>'270 Baseline RESULTS'!E21</f>
        <v>0.13400000000000001</v>
      </c>
      <c r="G21">
        <f>'270 Baseline RESULTS'!G21</f>
        <v>0.126</v>
      </c>
      <c r="H21" s="6">
        <f>'270 Baseline RESULTS'!X21</f>
        <v>0.30383922534467556</v>
      </c>
      <c r="I21" s="6">
        <f>'270 Baseline RESULTS'!Z21</f>
        <v>0.3</v>
      </c>
      <c r="J21" s="6">
        <f>'270 Baseline RESULTS'!AB21</f>
        <v>0.27357280492596653</v>
      </c>
      <c r="K21" s="6">
        <f>'270 Baseline RESULTS'!Y21</f>
        <v>0.39500000000000002</v>
      </c>
      <c r="L21" s="6">
        <f>'270 Baseline RESULTS'!AA21</f>
        <v>0.13400000000000001</v>
      </c>
      <c r="M21" s="6">
        <f>'270 Baseline RESULTS'!AC21</f>
        <v>0.126</v>
      </c>
      <c r="N21" s="6">
        <f>'270 Baseline RESULTS'!AD21</f>
        <v>0.30383922534467556</v>
      </c>
      <c r="O21" s="6">
        <f>'270 Baseline RESULTS'!AF21</f>
        <v>0.3</v>
      </c>
      <c r="P21" s="6">
        <f>'270 Baseline RESULTS'!AH21</f>
        <v>0.27357280492596653</v>
      </c>
      <c r="Q21" s="6">
        <f>'270 Baseline RESULTS'!AE21</f>
        <v>0.39500000000000002</v>
      </c>
      <c r="R21" s="6">
        <f>'270 Baseline RESULTS'!AG21</f>
        <v>0.13400000000000001</v>
      </c>
      <c r="S21" s="6">
        <f>'270 Baseline RESULTS'!AI21</f>
        <v>0.126</v>
      </c>
    </row>
    <row r="22" spans="1:19" x14ac:dyDescent="0.25">
      <c r="A22" t="s">
        <v>36</v>
      </c>
      <c r="B22" s="6">
        <f>'270 Baseline RESULTS'!B22</f>
        <v>6.0007721097641387</v>
      </c>
      <c r="C22">
        <f>'270 Baseline RESULTS'!D22</f>
        <v>5.62</v>
      </c>
      <c r="D22" s="6">
        <f>'270 Baseline RESULTS'!F22</f>
        <v>3.7877295398443711</v>
      </c>
      <c r="E22">
        <f>'270 Baseline RESULTS'!C22</f>
        <v>1.0779999999999998</v>
      </c>
      <c r="F22">
        <f>'270 Baseline RESULTS'!E22</f>
        <v>0.65900000000000003</v>
      </c>
      <c r="G22">
        <f>'270 Baseline RESULTS'!G22</f>
        <v>0.65700000000000003</v>
      </c>
      <c r="H22" s="6">
        <f>'270 Baseline RESULTS'!X22</f>
        <v>0.67369507925359517</v>
      </c>
      <c r="I22" s="6">
        <f>'270 Baseline RESULTS'!Z22</f>
        <v>0.63094653090467467</v>
      </c>
      <c r="J22" s="6">
        <f>'270 Baseline RESULTS'!AB22</f>
        <v>0.42524106995906852</v>
      </c>
      <c r="K22" s="6">
        <f>'270 Baseline RESULTS'!Y22</f>
        <v>7.5109647969791471E-2</v>
      </c>
      <c r="L22" s="6">
        <f>'270 Baseline RESULTS'!AA22</f>
        <v>4.5915823758898577E-2</v>
      </c>
      <c r="M22" s="6">
        <f>'270 Baseline RESULTS'!AC22</f>
        <v>4.5776473762665137E-2</v>
      </c>
      <c r="N22" s="6">
        <f>'270 Baseline RESULTS'!AD22</f>
        <v>1.8063047349130503</v>
      </c>
      <c r="O22" s="6">
        <f>'270 Baseline RESULTS'!AF22</f>
        <v>1.6916877402648689</v>
      </c>
      <c r="P22" s="6">
        <f>'270 Baseline RESULTS'!AH22</f>
        <v>1.1401522466181166</v>
      </c>
      <c r="Q22" s="6">
        <f>'270 Baseline RESULTS'!AE22</f>
        <v>0.1913147804885289</v>
      </c>
      <c r="R22" s="6">
        <f>'270 Baseline RESULTS'!AG22</f>
        <v>0.11695402629122509</v>
      </c>
      <c r="S22" s="6">
        <f>'270 Baseline RESULTS'!AI22</f>
        <v>0.11659908235710903</v>
      </c>
    </row>
    <row r="23" spans="1:19" x14ac:dyDescent="0.25">
      <c r="A23" t="s">
        <v>37</v>
      </c>
      <c r="B23" s="6">
        <f>'270 Baseline RESULTS'!B23</f>
        <v>5.0459163142951384</v>
      </c>
      <c r="C23">
        <f>'270 Baseline RESULTS'!D23</f>
        <v>4.18</v>
      </c>
      <c r="D23" s="6">
        <f>'270 Baseline RESULTS'!F23</f>
        <v>2.6871532998901664</v>
      </c>
      <c r="E23">
        <f>'270 Baseline RESULTS'!C23</f>
        <v>0.8</v>
      </c>
      <c r="F23">
        <f>'270 Baseline RESULTS'!E23</f>
        <v>0.434</v>
      </c>
      <c r="G23">
        <f>'270 Baseline RESULTS'!G23</f>
        <v>0.41</v>
      </c>
      <c r="H23" s="6">
        <f>'270 Baseline RESULTS'!X23</f>
        <v>6.994307240825659E-2</v>
      </c>
      <c r="I23" s="6">
        <f>'270 Baseline RESULTS'!Z23</f>
        <v>5.7940327277772319E-2</v>
      </c>
      <c r="J23" s="6">
        <f>'270 Baseline RESULTS'!AB23</f>
        <v>3.7247498000283041E-2</v>
      </c>
      <c r="K23" s="6">
        <f>'270 Baseline RESULTS'!Y23</f>
        <v>1.1089057852205264E-2</v>
      </c>
      <c r="L23" s="6">
        <f>'270 Baseline RESULTS'!AA23</f>
        <v>6.0158138848213638E-3</v>
      </c>
      <c r="M23" s="6">
        <f>'270 Baseline RESULTS'!AC23</f>
        <v>5.6831421492551937E-3</v>
      </c>
      <c r="N23" s="6">
        <f>'270 Baseline RESULTS'!AD23</f>
        <v>0.1991799507594445</v>
      </c>
      <c r="O23" s="6">
        <f>'270 Baseline RESULTS'!AF23</f>
        <v>0.16499920773869992</v>
      </c>
      <c r="P23" s="6">
        <f>'270 Baseline RESULTS'!AH23</f>
        <v>0.10607133147232295</v>
      </c>
      <c r="Q23" s="6">
        <f>'270 Baseline RESULTS'!AE23</f>
        <v>3.1578795739464094E-2</v>
      </c>
      <c r="R23" s="6">
        <f>'270 Baseline RESULTS'!AG23</f>
        <v>1.7131496688659265E-2</v>
      </c>
      <c r="S23" s="6">
        <f>'270 Baseline RESULTS'!AI23</f>
        <v>1.618413281647535E-2</v>
      </c>
    </row>
    <row r="24" spans="1:19" x14ac:dyDescent="0.25">
      <c r="A24" t="s">
        <v>38</v>
      </c>
      <c r="B24" s="6">
        <f>'270 Baseline RESULTS'!B24</f>
        <v>18.404622578946785</v>
      </c>
      <c r="C24">
        <f>'270 Baseline RESULTS'!D24</f>
        <v>15.14</v>
      </c>
      <c r="D24" s="6">
        <f>'270 Baseline RESULTS'!F24</f>
        <v>10.36019254618888</v>
      </c>
      <c r="E24">
        <f>'270 Baseline RESULTS'!C24</f>
        <v>2.1559999999999997</v>
      </c>
      <c r="F24">
        <f>'270 Baseline RESULTS'!E24</f>
        <v>1.3439999999999999</v>
      </c>
      <c r="G24">
        <f>'270 Baseline RESULTS'!G24</f>
        <v>1.2689999999999999</v>
      </c>
      <c r="H24" s="6">
        <f>'270 Baseline RESULTS'!X24</f>
        <v>0.25511240565743165</v>
      </c>
      <c r="I24" s="6">
        <f>'270 Baseline RESULTS'!Z24</f>
        <v>0.2098604198529852</v>
      </c>
      <c r="J24" s="6">
        <f>'270 Baseline RESULTS'!AB24</f>
        <v>0.14360596813084392</v>
      </c>
      <c r="K24" s="6">
        <f>'270 Baseline RESULTS'!Y24</f>
        <v>2.9885010911693044E-2</v>
      </c>
      <c r="L24" s="6">
        <f>'270 Baseline RESULTS'!AA24</f>
        <v>1.8629617191704861E-2</v>
      </c>
      <c r="M24" s="6">
        <f>'270 Baseline RESULTS'!AC24</f>
        <v>1.7590018018060594E-2</v>
      </c>
      <c r="N24" s="6">
        <f>'270 Baseline RESULTS'!AD24</f>
        <v>0.72649477135311358</v>
      </c>
      <c r="O24" s="6">
        <f>'270 Baseline RESULTS'!AF24</f>
        <v>0.59762870936935819</v>
      </c>
      <c r="P24" s="6">
        <f>'270 Baseline RESULTS'!AH24</f>
        <v>0.40895300529702183</v>
      </c>
      <c r="Q24" s="6">
        <f>'270 Baseline RESULTS'!AE24</f>
        <v>8.5104854517855877E-2</v>
      </c>
      <c r="R24" s="6">
        <f>'270 Baseline RESULTS'!AG24</f>
        <v>5.3052376842299687E-2</v>
      </c>
      <c r="S24" s="6">
        <f>'270 Baseline RESULTS'!AI24</f>
        <v>5.0091864741725001E-2</v>
      </c>
    </row>
    <row r="25" spans="1:19" x14ac:dyDescent="0.25">
      <c r="A25" t="s">
        <v>39</v>
      </c>
      <c r="B25" s="6">
        <f>'270 Baseline RESULTS'!B25</f>
        <v>17.760281745417767</v>
      </c>
      <c r="C25">
        <f>'270 Baseline RESULTS'!D25</f>
        <v>14.88</v>
      </c>
      <c r="D25" s="6">
        <f>'270 Baseline RESULTS'!F25</f>
        <v>9.5380645926710006</v>
      </c>
      <c r="E25">
        <f>'270 Baseline RESULTS'!C25</f>
        <v>2.431</v>
      </c>
      <c r="F25">
        <f>'270 Baseline RESULTS'!E25</f>
        <v>1.659</v>
      </c>
      <c r="G25">
        <f>'270 Baseline RESULTS'!G25</f>
        <v>1.6440000000000001</v>
      </c>
      <c r="H25" s="6">
        <f>'270 Baseline RESULTS'!X25</f>
        <v>1.9939124831247259</v>
      </c>
      <c r="I25" s="6">
        <f>'270 Baseline RESULTS'!Z25</f>
        <v>1.6705488220394233</v>
      </c>
      <c r="J25" s="6">
        <f>'270 Baseline RESULTS'!AB25</f>
        <v>1.0708200651762407</v>
      </c>
      <c r="K25" s="6">
        <f>'270 Baseline RESULTS'!Y25</f>
        <v>0.16937992042167282</v>
      </c>
      <c r="L25" s="6">
        <f>'270 Baseline RESULTS'!AA25</f>
        <v>0.11559082187558833</v>
      </c>
      <c r="M25" s="6">
        <f>'270 Baseline RESULTS'!AC25</f>
        <v>0.11454569690383787</v>
      </c>
      <c r="N25" s="6">
        <f>'270 Baseline RESULTS'!AD25</f>
        <v>5.3460588776464739</v>
      </c>
      <c r="O25" s="6">
        <f>'270 Baseline RESULTS'!AF25</f>
        <v>4.4790593550073403</v>
      </c>
      <c r="P25" s="6">
        <f>'270 Baseline RESULTS'!AH25</f>
        <v>2.8710724087679642</v>
      </c>
      <c r="Q25" s="6">
        <f>'270 Baseline RESULTS'!AE25</f>
        <v>0.43143435191800927</v>
      </c>
      <c r="R25" s="6">
        <f>'270 Baseline RESULTS'!AG25</f>
        <v>0.2944259933492297</v>
      </c>
      <c r="S25" s="6">
        <f>'270 Baseline RESULTS'!AI25</f>
        <v>0.29176391384335965</v>
      </c>
    </row>
    <row r="26" spans="1:19" x14ac:dyDescent="0.25">
      <c r="A26" t="s">
        <v>40</v>
      </c>
      <c r="B26" s="6">
        <f>'270 Baseline RESULTS'!B26</f>
        <v>38.079705607546721</v>
      </c>
      <c r="C26">
        <f>'270 Baseline RESULTS'!D26</f>
        <v>31.13</v>
      </c>
      <c r="D26" s="6">
        <f>'270 Baseline RESULTS'!F26</f>
        <v>24.61431470359264</v>
      </c>
      <c r="E26">
        <f>'270 Baseline RESULTS'!C26</f>
        <v>3.4850000000000003</v>
      </c>
      <c r="F26">
        <f>'270 Baseline RESULTS'!E26</f>
        <v>2.3780000000000001</v>
      </c>
      <c r="G26">
        <f>'270 Baseline RESULTS'!G26</f>
        <v>2.3289999999999997</v>
      </c>
      <c r="H26" s="6">
        <f>'270 Baseline RESULTS'!X26</f>
        <v>0.5278350730962913</v>
      </c>
      <c r="I26" s="6">
        <f>'270 Baseline RESULTS'!Z26</f>
        <v>0.43150296367393892</v>
      </c>
      <c r="J26" s="6">
        <f>'270 Baseline RESULTS'!AB26</f>
        <v>0.34118694967565588</v>
      </c>
      <c r="K26" s="6">
        <f>'270 Baseline RESULTS'!Y26</f>
        <v>4.830670826866923E-2</v>
      </c>
      <c r="L26" s="6">
        <f>'270 Baseline RESULTS'!AA26</f>
        <v>3.2962224465680201E-2</v>
      </c>
      <c r="M26" s="6">
        <f>'270 Baseline RESULTS'!AC26</f>
        <v>3.2283019672232793E-2</v>
      </c>
      <c r="N26" s="6">
        <f>'270 Baseline RESULTS'!AD26</f>
        <v>1.5031390564995561</v>
      </c>
      <c r="O26" s="6">
        <f>'270 Baseline RESULTS'!AF26</f>
        <v>1.2288098892118988</v>
      </c>
      <c r="P26" s="6">
        <f>'270 Baseline RESULTS'!AH26</f>
        <v>0.97161302036455055</v>
      </c>
      <c r="Q26" s="6">
        <f>'270 Baseline RESULTS'!AE26</f>
        <v>0.13756512894004036</v>
      </c>
      <c r="R26" s="6">
        <f>'270 Baseline RESULTS'!AG26</f>
        <v>9.386797033555716E-2</v>
      </c>
      <c r="S26" s="6">
        <f>'270 Baseline RESULTS'!AI26</f>
        <v>9.1933769096514961E-2</v>
      </c>
    </row>
    <row r="27" spans="1:19" x14ac:dyDescent="0.25">
      <c r="A27" t="s">
        <v>41</v>
      </c>
      <c r="B27" s="6">
        <f>'270 Baseline RESULTS'!B27</f>
        <v>6.5433621818154624</v>
      </c>
      <c r="C27">
        <f>'270 Baseline RESULTS'!D27</f>
        <v>5.65</v>
      </c>
      <c r="D27" s="6">
        <f>'270 Baseline RESULTS'!F27</f>
        <v>3.9850672513518863</v>
      </c>
      <c r="E27">
        <f>'270 Baseline RESULTS'!C27</f>
        <v>1.032</v>
      </c>
      <c r="F27">
        <f>'270 Baseline RESULTS'!E27</f>
        <v>0.57800000000000007</v>
      </c>
      <c r="G27">
        <f>'270 Baseline RESULTS'!G27</f>
        <v>0.55899999999999994</v>
      </c>
      <c r="H27" s="6">
        <f>'270 Baseline RESULTS'!X27</f>
        <v>5.0345651347491289</v>
      </c>
      <c r="I27" s="6">
        <f>'270 Baseline RESULTS'!Z27</f>
        <v>4.347198308903697</v>
      </c>
      <c r="J27" s="6">
        <f>'270 Baseline RESULTS'!AB27</f>
        <v>3.0661730293706944</v>
      </c>
      <c r="K27" s="6">
        <f>'270 Baseline RESULTS'!Y27</f>
        <v>0.42766012185438984</v>
      </c>
      <c r="L27" s="6">
        <f>'270 Baseline RESULTS'!AA27</f>
        <v>0.23952282018588894</v>
      </c>
      <c r="M27" s="6">
        <f>'270 Baseline RESULTS'!AC27</f>
        <v>0.2316492326711278</v>
      </c>
      <c r="N27" s="6">
        <f>'270 Baseline RESULTS'!AD27</f>
        <v>6.2937537945583895</v>
      </c>
      <c r="O27" s="6">
        <f>'270 Baseline RESULTS'!AF27</f>
        <v>5.4344705292453837</v>
      </c>
      <c r="P27" s="6">
        <f>'270 Baseline RESULTS'!AH27</f>
        <v>3.8330496521296866</v>
      </c>
      <c r="Q27" s="6">
        <f>'270 Baseline RESULTS'!AE27</f>
        <v>0.81732752978347167</v>
      </c>
      <c r="R27" s="6">
        <f>'270 Baseline RESULTS'!AG27</f>
        <v>0.45776677540198324</v>
      </c>
      <c r="S27" s="6">
        <f>'270 Baseline RESULTS'!AI27</f>
        <v>0.44271907863271376</v>
      </c>
    </row>
    <row r="28" spans="1:19" x14ac:dyDescent="0.25">
      <c r="A28" t="s">
        <v>42</v>
      </c>
      <c r="B28" s="6">
        <f>'270 Baseline RESULTS'!B28</f>
        <v>3.9927070673270189</v>
      </c>
      <c r="C28">
        <f>'270 Baseline RESULTS'!D28</f>
        <v>3.2</v>
      </c>
      <c r="D28" s="6">
        <f>'270 Baseline RESULTS'!F28</f>
        <v>2.2175741126184962</v>
      </c>
      <c r="E28">
        <f>'270 Baseline RESULTS'!C28</f>
        <v>0.57800000000000007</v>
      </c>
      <c r="F28">
        <f>'270 Baseline RESULTS'!E28</f>
        <v>0.312</v>
      </c>
      <c r="G28">
        <f>'270 Baseline RESULTS'!G28</f>
        <v>0.3</v>
      </c>
      <c r="H28" s="6">
        <f>'270 Baseline RESULTS'!X28</f>
        <v>3.0720512231914787</v>
      </c>
      <c r="I28" s="6">
        <f>'270 Baseline RESULTS'!Z28</f>
        <v>2.4621300156622707</v>
      </c>
      <c r="J28" s="6">
        <f>'270 Baseline RESULTS'!AB28</f>
        <v>1.7062361826980075</v>
      </c>
      <c r="K28" s="6">
        <f>'270 Baseline RESULTS'!Y28</f>
        <v>0.23952282018588894</v>
      </c>
      <c r="L28" s="6">
        <f>'270 Baseline RESULTS'!AA28</f>
        <v>0.12929259497923415</v>
      </c>
      <c r="M28" s="6">
        <f>'270 Baseline RESULTS'!AC28</f>
        <v>0.12431980286464822</v>
      </c>
      <c r="N28" s="6">
        <f>'270 Baseline RESULTS'!AD28</f>
        <v>3.8403980335041497</v>
      </c>
      <c r="O28" s="6">
        <f>'270 Baseline RESULTS'!AF28</f>
        <v>3.0779302112540226</v>
      </c>
      <c r="P28" s="6">
        <f>'270 Baseline RESULTS'!AH28</f>
        <v>2.1329807365385309</v>
      </c>
      <c r="Q28" s="6">
        <f>'270 Baseline RESULTS'!AE28</f>
        <v>0.45776677540198324</v>
      </c>
      <c r="R28" s="6">
        <f>'270 Baseline RESULTS'!AG28</f>
        <v>0.24709902063221237</v>
      </c>
      <c r="S28" s="6">
        <f>'270 Baseline RESULTS'!AI28</f>
        <v>0.23759521214635804</v>
      </c>
    </row>
    <row r="29" spans="1:19" x14ac:dyDescent="0.25">
      <c r="A29" t="s">
        <v>93</v>
      </c>
      <c r="B29" s="6">
        <f>'270 Baseline RESULTS'!B29</f>
        <v>1.3665379649997009</v>
      </c>
      <c r="C29">
        <f>'270 Baseline RESULTS'!D29</f>
        <v>1.36</v>
      </c>
      <c r="D29" s="6">
        <f>'270 Baseline RESULTS'!F29</f>
        <v>1.3137527882181352</v>
      </c>
      <c r="E29">
        <f>'270 Baseline RESULTS'!C29</f>
        <v>0.73699999999999999</v>
      </c>
      <c r="F29">
        <f>'270 Baseline RESULTS'!E29</f>
        <v>0.23599999999999999</v>
      </c>
      <c r="G29">
        <f>'270 Baseline RESULTS'!G29</f>
        <v>0.19500000000000001</v>
      </c>
      <c r="H29" s="6">
        <f>'270 Baseline RESULTS'!X29</f>
        <v>0.56629243471940127</v>
      </c>
      <c r="I29" s="6">
        <f>'270 Baseline RESULTS'!Z29</f>
        <v>0.56358310631973862</v>
      </c>
      <c r="J29" s="6">
        <f>'270 Baseline RESULTS'!AB29</f>
        <v>0.54441829214720172</v>
      </c>
      <c r="K29" s="6">
        <f>'270 Baseline RESULTS'!Y29</f>
        <v>0.15956275493441308</v>
      </c>
      <c r="L29" s="6">
        <f>'270 Baseline RESULTS'!AA29</f>
        <v>5.1094722068550175E-2</v>
      </c>
      <c r="M29" s="6">
        <f>'270 Baseline RESULTS'!AC29</f>
        <v>4.2218096624437651E-2</v>
      </c>
      <c r="N29" s="6">
        <f>'270 Baseline RESULTS'!AD29</f>
        <v>1.0822762590005213</v>
      </c>
      <c r="O29" s="6">
        <f>'270 Baseline RESULTS'!AF29</f>
        <v>1.07709829506349</v>
      </c>
      <c r="P29" s="6">
        <f>'270 Baseline RESULTS'!AH29</f>
        <v>1.0404712414151909</v>
      </c>
      <c r="Q29" s="6">
        <f>'270 Baseline RESULTS'!AE29</f>
        <v>0.38087352011580372</v>
      </c>
      <c r="R29" s="6">
        <f>'270 Baseline RESULTS'!AG29</f>
        <v>0.12196221268294394</v>
      </c>
      <c r="S29" s="6">
        <f>'270 Baseline RESULTS'!AI29</f>
        <v>0.10077386217446639</v>
      </c>
    </row>
    <row r="30" spans="1:19" x14ac:dyDescent="0.25">
      <c r="A30" t="s">
        <v>44</v>
      </c>
      <c r="B30" s="6">
        <f>'270 Baseline RESULTS'!B30</f>
        <v>8.1030915438612769</v>
      </c>
      <c r="C30">
        <f>'270 Baseline RESULTS'!D30</f>
        <v>6.48</v>
      </c>
      <c r="D30" s="6">
        <f>'270 Baseline RESULTS'!F30</f>
        <v>4.5284275486096881</v>
      </c>
      <c r="E30">
        <f>'270 Baseline RESULTS'!C30</f>
        <v>1.119</v>
      </c>
      <c r="F30">
        <f>'270 Baseline RESULTS'!E30</f>
        <v>0.63200000000000001</v>
      </c>
      <c r="G30">
        <f>'270 Baseline RESULTS'!G30</f>
        <v>0.60199999999999998</v>
      </c>
      <c r="H30" s="6">
        <f>'270 Baseline RESULTS'!X30</f>
        <v>3.3579158110901064</v>
      </c>
      <c r="I30" s="6">
        <f>'270 Baseline RESULTS'!Z30</f>
        <v>2.6853077418764015</v>
      </c>
      <c r="J30" s="6">
        <f>'270 Baseline RESULTS'!AB30</f>
        <v>1.8765774004333289</v>
      </c>
      <c r="K30" s="6">
        <f>'270 Baseline RESULTS'!Y30</f>
        <v>0.24226692370638825</v>
      </c>
      <c r="L30" s="6">
        <f>'270 Baseline RESULTS'!AA30</f>
        <v>0.13682993367510043</v>
      </c>
      <c r="M30" s="6">
        <f>'270 Baseline RESULTS'!AC30</f>
        <v>0.13033484188672545</v>
      </c>
      <c r="N30" s="6">
        <f>'270 Baseline RESULTS'!AD30</f>
        <v>6.4175191813502668</v>
      </c>
      <c r="O30" s="6">
        <f>'270 Baseline RESULTS'!AF30</f>
        <v>5.1320565823613347</v>
      </c>
      <c r="P30" s="6">
        <f>'270 Baseline RESULTS'!AH30</f>
        <v>3.5864423470044366</v>
      </c>
      <c r="Q30" s="6">
        <f>'270 Baseline RESULTS'!AE30</f>
        <v>0.57828693217039939</v>
      </c>
      <c r="R30" s="6">
        <f>'270 Baseline RESULTS'!AG30</f>
        <v>0.32661067125262955</v>
      </c>
      <c r="S30" s="6">
        <f>'270 Baseline RESULTS'!AI30</f>
        <v>0.31110700014886544</v>
      </c>
    </row>
    <row r="31" spans="1:19" x14ac:dyDescent="0.25">
      <c r="A31" t="s">
        <v>80</v>
      </c>
      <c r="B31" s="6">
        <f>'270 Baseline RESULTS'!B31</f>
        <v>1.1921656831162284</v>
      </c>
      <c r="C31">
        <f>'270 Baseline RESULTS'!D31</f>
        <v>1.18</v>
      </c>
      <c r="D31" s="6">
        <f>'270 Baseline RESULTS'!F31</f>
        <v>1.1179206781790507</v>
      </c>
      <c r="E31">
        <f>'270 Baseline RESULTS'!C31</f>
        <v>0.68499999999999994</v>
      </c>
      <c r="F31">
        <f>'270 Baseline RESULTS'!E31</f>
        <v>0.23900000000000002</v>
      </c>
      <c r="G31">
        <f>'270 Baseline RESULTS'!G31</f>
        <v>0.20400000000000001</v>
      </c>
      <c r="H31" s="6">
        <f>'270 Baseline RESULTS'!X31</f>
        <v>0.91727091001343153</v>
      </c>
      <c r="I31" s="6">
        <f>'270 Baseline RESULTS'!Z31</f>
        <v>0.90791044327546222</v>
      </c>
      <c r="J31" s="6">
        <f>'270 Baseline RESULTS'!AB31</f>
        <v>0.86014564277317573</v>
      </c>
      <c r="K31" s="6">
        <f>'270 Baseline RESULTS'!Y31</f>
        <v>0.28386354987428009</v>
      </c>
      <c r="L31" s="6">
        <f>'270 Baseline RESULTS'!AA31</f>
        <v>9.9041442948836433E-2</v>
      </c>
      <c r="M31" s="6">
        <f>'270 Baseline RESULTS'!AC31</f>
        <v>8.4537465947960799E-2</v>
      </c>
      <c r="N31" s="6">
        <f>'270 Baseline RESULTS'!AD31</f>
        <v>1.1466883665261651</v>
      </c>
      <c r="O31" s="6">
        <f>'270 Baseline RESULTS'!AF31</f>
        <v>1.1349867653999206</v>
      </c>
      <c r="P31" s="6">
        <f>'270 Baseline RESULTS'!AH31</f>
        <v>1.0752755716102766</v>
      </c>
      <c r="Q31" s="6">
        <f>'270 Baseline RESULTS'!AE31</f>
        <v>0.54250906773418417</v>
      </c>
      <c r="R31" s="6">
        <f>'270 Baseline RESULTS'!AG31</f>
        <v>0.1892841856765986</v>
      </c>
      <c r="S31" s="6">
        <f>'270 Baseline RESULTS'!AI31</f>
        <v>0.1615647442595235</v>
      </c>
    </row>
    <row r="32" spans="1:19" x14ac:dyDescent="0.25">
      <c r="A32" t="s">
        <v>81</v>
      </c>
      <c r="B32" s="6">
        <f>'270 Baseline RESULTS'!B32</f>
        <v>7.9931399787021871</v>
      </c>
      <c r="C32">
        <f>'270 Baseline RESULTS'!D32</f>
        <v>6.38</v>
      </c>
      <c r="D32" s="6">
        <f>'270 Baseline RESULTS'!F32</f>
        <v>4.3092485099152746</v>
      </c>
      <c r="E32">
        <f>'270 Baseline RESULTS'!C32</f>
        <v>1.115</v>
      </c>
      <c r="F32">
        <f>'270 Baseline RESULTS'!E32</f>
        <v>0.65800000000000003</v>
      </c>
      <c r="G32">
        <f>'270 Baseline RESULTS'!G32</f>
        <v>0.63200000000000001</v>
      </c>
      <c r="H32" s="6">
        <f>'270 Baseline RESULTS'!X32</f>
        <v>1.7305392613000219</v>
      </c>
      <c r="I32" s="6">
        <f>'270 Baseline RESULTS'!Z32</f>
        <v>1.3812895203277549</v>
      </c>
      <c r="J32" s="6">
        <f>'270 Baseline RESULTS'!AB32</f>
        <v>0.93296548702726678</v>
      </c>
      <c r="K32" s="6">
        <f>'270 Baseline RESULTS'!Y32</f>
        <v>0.12517889358695944</v>
      </c>
      <c r="L32" s="6">
        <f>'270 Baseline RESULTS'!AA32</f>
        <v>7.387238742620561E-2</v>
      </c>
      <c r="M32" s="6">
        <f>'270 Baseline RESULTS'!AC32</f>
        <v>7.0953417710276523E-2</v>
      </c>
      <c r="N32" s="6">
        <f>'270 Baseline RESULTS'!AD32</f>
        <v>4.130767110538212</v>
      </c>
      <c r="O32" s="6">
        <f>'270 Baseline RESULTS'!AF32</f>
        <v>3.2971140547338234</v>
      </c>
      <c r="P32" s="6">
        <f>'270 Baseline RESULTS'!AH32</f>
        <v>2.2269723867370592</v>
      </c>
      <c r="Q32" s="6">
        <f>'270 Baseline RESULTS'!AE32</f>
        <v>0.33562843957212252</v>
      </c>
      <c r="R32" s="6">
        <f>'270 Baseline RESULTS'!AG32</f>
        <v>0.19806593115556648</v>
      </c>
      <c r="S32" s="6">
        <f>'270 Baseline RESULTS'!AI32</f>
        <v>0.19023961776644077</v>
      </c>
    </row>
    <row r="33" spans="1:19" x14ac:dyDescent="0.25">
      <c r="A33" t="s">
        <v>82</v>
      </c>
      <c r="B33" s="6">
        <f>'270 Baseline RESULTS'!B33</f>
        <v>5.4466617098251344</v>
      </c>
      <c r="C33">
        <f>'270 Baseline RESULTS'!D33</f>
        <v>4.58</v>
      </c>
      <c r="D33" s="6">
        <f>'270 Baseline RESULTS'!F33</f>
        <v>2.934706184963682</v>
      </c>
      <c r="E33">
        <f>'270 Baseline RESULTS'!C33</f>
        <v>0.95099999999999996</v>
      </c>
      <c r="F33">
        <f>'270 Baseline RESULTS'!E33</f>
        <v>0.51800000000000002</v>
      </c>
      <c r="G33">
        <f>'270 Baseline RESULTS'!G33</f>
        <v>0.496</v>
      </c>
      <c r="H33" s="6">
        <f>'270 Baseline RESULTS'!X33</f>
        <v>2.2570930334529615</v>
      </c>
      <c r="I33" s="6">
        <f>'270 Baseline RESULTS'!Z33</f>
        <v>1.8979489904002964</v>
      </c>
      <c r="J33" s="6">
        <f>'270 Baseline RESULTS'!AB33</f>
        <v>1.2161403146011627</v>
      </c>
      <c r="K33" s="6">
        <f>'270 Baseline RESULTS'!Y33</f>
        <v>0.2058944096914882</v>
      </c>
      <c r="L33" s="6">
        <f>'270 Baseline RESULTS'!AA33</f>
        <v>0.11214858487927537</v>
      </c>
      <c r="M33" s="6">
        <f>'270 Baseline RESULTS'!AC33</f>
        <v>0.10738551756780035</v>
      </c>
      <c r="N33" s="6">
        <f>'270 Baseline RESULTS'!AD33</f>
        <v>4.3136691481178264</v>
      </c>
      <c r="O33" s="6">
        <f>'270 Baseline RESULTS'!AF33</f>
        <v>3.6272869054343997</v>
      </c>
      <c r="P33" s="6">
        <f>'270 Baseline RESULTS'!AH33</f>
        <v>2.3242404620122503</v>
      </c>
      <c r="Q33" s="6">
        <f>'270 Baseline RESULTS'!AE33</f>
        <v>0.49146637398932069</v>
      </c>
      <c r="R33" s="6">
        <f>'270 Baseline RESULTS'!AG33</f>
        <v>0.26769672105832609</v>
      </c>
      <c r="S33" s="6">
        <f>'270 Baseline RESULTS'!AI33</f>
        <v>0.25632736224889913</v>
      </c>
    </row>
    <row r="34" spans="1:19" x14ac:dyDescent="0.25">
      <c r="H34" s="6"/>
      <c r="I34" s="6"/>
      <c r="J34" s="6"/>
    </row>
  </sheetData>
  <sheetProtection password="C2EC" sheet="1" objects="1" scenarios="1" selectLockedCells="1" selectUnlockedCells="1"/>
  <mergeCells count="9">
    <mergeCell ref="B1:G1"/>
    <mergeCell ref="B2:D2"/>
    <mergeCell ref="E2:G2"/>
    <mergeCell ref="H1:M1"/>
    <mergeCell ref="N1:S1"/>
    <mergeCell ref="N2:P2"/>
    <mergeCell ref="Q2:S2"/>
    <mergeCell ref="H2:J2"/>
    <mergeCell ref="K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2" tint="-0.89999084444715716"/>
  </sheetPr>
  <dimension ref="A1:U33"/>
  <sheetViews>
    <sheetView workbookViewId="0">
      <selection activeCell="Z41" sqref="Z41"/>
    </sheetView>
  </sheetViews>
  <sheetFormatPr defaultRowHeight="15" x14ac:dyDescent="0.25"/>
  <cols>
    <col min="1" max="1" width="32.85546875" bestFit="1" customWidth="1"/>
    <col min="2" max="2" width="16.28515625" customWidth="1"/>
    <col min="3" max="3" width="20.28515625" bestFit="1" customWidth="1"/>
  </cols>
  <sheetData>
    <row r="1" spans="1:21" x14ac:dyDescent="0.25">
      <c r="D1" s="189" t="s">
        <v>184</v>
      </c>
      <c r="E1" s="189"/>
      <c r="F1" s="189"/>
      <c r="G1" s="189"/>
      <c r="H1" s="189"/>
      <c r="I1" s="189"/>
      <c r="J1" s="189" t="s">
        <v>105</v>
      </c>
      <c r="K1" s="189"/>
      <c r="L1" s="189"/>
      <c r="M1" s="189"/>
      <c r="N1" s="189"/>
      <c r="O1" s="189"/>
      <c r="P1" s="189" t="s">
        <v>108</v>
      </c>
      <c r="Q1" s="189"/>
      <c r="R1" s="189"/>
      <c r="S1" s="189"/>
      <c r="T1" s="189"/>
      <c r="U1" s="189"/>
    </row>
    <row r="2" spans="1:21" x14ac:dyDescent="0.25">
      <c r="D2" s="189" t="s">
        <v>186</v>
      </c>
      <c r="E2" s="189"/>
      <c r="F2" s="189"/>
      <c r="G2" s="189" t="s">
        <v>187</v>
      </c>
      <c r="H2" s="189"/>
      <c r="I2" s="189"/>
      <c r="J2" s="189" t="s">
        <v>185</v>
      </c>
      <c r="K2" s="189"/>
      <c r="L2" s="189"/>
      <c r="M2" s="189" t="s">
        <v>188</v>
      </c>
      <c r="N2" s="189"/>
      <c r="O2" s="189"/>
      <c r="P2" s="189" t="s">
        <v>185</v>
      </c>
      <c r="Q2" s="189"/>
      <c r="R2" s="189"/>
      <c r="S2" s="189" t="s">
        <v>188</v>
      </c>
      <c r="T2" s="189"/>
      <c r="U2" s="189"/>
    </row>
    <row r="3" spans="1:21" x14ac:dyDescent="0.25">
      <c r="A3" s="49" t="s">
        <v>48</v>
      </c>
      <c r="B3" s="49" t="s">
        <v>194</v>
      </c>
      <c r="C3" s="49" t="s">
        <v>195</v>
      </c>
      <c r="D3" s="49" t="s">
        <v>183</v>
      </c>
      <c r="E3" s="49" t="s">
        <v>0</v>
      </c>
      <c r="F3" s="49" t="s">
        <v>1</v>
      </c>
      <c r="G3" s="49" t="s">
        <v>183</v>
      </c>
      <c r="H3" s="49" t="s">
        <v>0</v>
      </c>
      <c r="I3" s="49" t="s">
        <v>1</v>
      </c>
      <c r="J3" s="49" t="s">
        <v>183</v>
      </c>
      <c r="K3" s="49" t="s">
        <v>0</v>
      </c>
      <c r="L3" s="49" t="s">
        <v>1</v>
      </c>
      <c r="M3" s="49" t="s">
        <v>183</v>
      </c>
      <c r="N3" s="49" t="s">
        <v>0</v>
      </c>
      <c r="O3" s="49" t="s">
        <v>1</v>
      </c>
      <c r="P3" s="49" t="s">
        <v>183</v>
      </c>
      <c r="Q3" s="49" t="s">
        <v>0</v>
      </c>
      <c r="R3" s="49" t="s">
        <v>1</v>
      </c>
      <c r="S3" s="49" t="s">
        <v>183</v>
      </c>
      <c r="T3" s="49" t="s">
        <v>0</v>
      </c>
      <c r="U3" s="49" t="s">
        <v>1</v>
      </c>
    </row>
    <row r="4" spans="1:21" x14ac:dyDescent="0.25">
      <c r="A4" t="s">
        <v>87</v>
      </c>
      <c r="B4">
        <v>-4.8</v>
      </c>
      <c r="C4">
        <f t="shared" ref="C4:C32" si="0">(B4/-4.6)*950</f>
        <v>991.30434782608688</v>
      </c>
      <c r="D4" s="6">
        <f>C_factor!E2*E4</f>
        <v>2.7054075297782192</v>
      </c>
      <c r="E4" s="55">
        <v>2.4238399942713964</v>
      </c>
      <c r="F4" s="6">
        <f>E4*C_factor!F2</f>
        <v>1.6354017352968047</v>
      </c>
      <c r="G4" s="56">
        <v>0.765067136630601</v>
      </c>
      <c r="H4" s="56">
        <v>0.3927672745915235</v>
      </c>
      <c r="I4" s="56">
        <v>0.38118238861846027</v>
      </c>
      <c r="J4" s="6"/>
      <c r="K4" s="6"/>
      <c r="L4" s="6"/>
      <c r="M4" s="6"/>
      <c r="N4" s="6"/>
      <c r="O4" s="6"/>
      <c r="P4" s="6"/>
      <c r="Q4" s="6"/>
      <c r="R4" s="6"/>
      <c r="S4" s="6"/>
      <c r="T4" s="6"/>
      <c r="U4" s="6"/>
    </row>
    <row r="5" spans="1:21" x14ac:dyDescent="0.25">
      <c r="A5" t="s">
        <v>19</v>
      </c>
      <c r="B5">
        <v>-4.0999999999999996</v>
      </c>
      <c r="C5">
        <f t="shared" si="0"/>
        <v>846.73913043478262</v>
      </c>
      <c r="D5" s="6">
        <f>C_factor!E3*E5</f>
        <v>3.923787989177427</v>
      </c>
      <c r="E5" s="55">
        <v>3.5184907880469334</v>
      </c>
      <c r="F5" s="6">
        <f>E5*C_factor!F3</f>
        <v>2.2362197743979801</v>
      </c>
      <c r="G5" s="56">
        <v>0.77962031326678272</v>
      </c>
      <c r="H5" s="56">
        <v>0.54239345018744467</v>
      </c>
      <c r="I5" s="56">
        <v>0.56813278081271235</v>
      </c>
      <c r="J5" s="6"/>
      <c r="K5" s="6"/>
      <c r="L5" s="6"/>
      <c r="M5" s="6"/>
      <c r="N5" s="6"/>
      <c r="O5" s="6"/>
      <c r="P5" s="6"/>
      <c r="Q5" s="6"/>
      <c r="R5" s="6"/>
      <c r="S5" s="6"/>
      <c r="T5" s="6"/>
      <c r="U5" s="6"/>
    </row>
    <row r="6" spans="1:21" x14ac:dyDescent="0.25">
      <c r="A6" t="s">
        <v>20</v>
      </c>
      <c r="B6">
        <v>-2.4</v>
      </c>
      <c r="C6">
        <f t="shared" si="0"/>
        <v>495.65217391304344</v>
      </c>
      <c r="D6" s="6">
        <f>C_factor!E4*E6</f>
        <v>74.880997327327393</v>
      </c>
      <c r="E6" s="55">
        <v>61.27894314185626</v>
      </c>
      <c r="F6" s="6">
        <f>E6*C_factor!F4</f>
        <v>49.168243211884665</v>
      </c>
      <c r="G6" s="56">
        <v>6.4434881124700052</v>
      </c>
      <c r="H6" s="56">
        <v>4.5837163207608542</v>
      </c>
      <c r="I6" s="56">
        <v>4.5313028376408084</v>
      </c>
      <c r="J6" s="6"/>
      <c r="K6" s="6"/>
      <c r="L6" s="6"/>
      <c r="M6" s="6"/>
      <c r="N6" s="6"/>
      <c r="O6" s="6"/>
      <c r="P6" s="6"/>
      <c r="Q6" s="6"/>
      <c r="R6" s="6"/>
      <c r="S6" s="6"/>
      <c r="T6" s="6"/>
      <c r="U6" s="6"/>
    </row>
    <row r="7" spans="1:21" x14ac:dyDescent="0.25">
      <c r="A7" t="s">
        <v>21</v>
      </c>
      <c r="B7">
        <v>-4.3</v>
      </c>
      <c r="C7">
        <f t="shared" si="0"/>
        <v>888.04347826086962</v>
      </c>
      <c r="D7" s="6">
        <f>C_factor!E5*E7</f>
        <v>3.6344009069246832</v>
      </c>
      <c r="E7" s="55">
        <v>3.4192006171457483</v>
      </c>
      <c r="F7" s="6">
        <f>E7*C_factor!F5</f>
        <v>2.3655840775740855</v>
      </c>
      <c r="G7" s="56">
        <v>0.88119975137598894</v>
      </c>
      <c r="H7" s="56">
        <v>0.50541790562729649</v>
      </c>
      <c r="I7" s="56">
        <v>0.49799644307683816</v>
      </c>
      <c r="J7" s="6"/>
      <c r="K7" s="6"/>
      <c r="L7" s="6"/>
      <c r="M7" s="6"/>
      <c r="N7" s="6"/>
      <c r="O7" s="6"/>
      <c r="P7" s="6"/>
      <c r="Q7" s="6"/>
      <c r="R7" s="6"/>
      <c r="S7" s="6"/>
      <c r="T7" s="6"/>
      <c r="U7" s="6"/>
    </row>
    <row r="8" spans="1:21" x14ac:dyDescent="0.25">
      <c r="A8" t="s">
        <v>22</v>
      </c>
      <c r="B8">
        <v>-4.3</v>
      </c>
      <c r="C8">
        <f t="shared" si="0"/>
        <v>888.04347826086962</v>
      </c>
      <c r="D8" s="6">
        <f>C_factor!E6*E8</f>
        <v>8.1736456803747473</v>
      </c>
      <c r="E8" s="55">
        <v>6.1247783629837826</v>
      </c>
      <c r="F8" s="6">
        <f>E8*C_factor!F6</f>
        <v>4.4502373726525635</v>
      </c>
      <c r="G8" s="56">
        <v>0.90508507359958568</v>
      </c>
      <c r="H8" s="56">
        <v>0.54477199139384447</v>
      </c>
      <c r="I8" s="56">
        <v>0.52872810583076302</v>
      </c>
      <c r="J8" s="6"/>
      <c r="K8" s="6"/>
      <c r="L8" s="6"/>
      <c r="M8" s="6"/>
      <c r="N8" s="6"/>
      <c r="O8" s="6"/>
      <c r="P8" s="6"/>
      <c r="Q8" s="6"/>
      <c r="R8" s="6"/>
      <c r="S8" s="6"/>
      <c r="T8" s="6"/>
      <c r="U8" s="6"/>
    </row>
    <row r="9" spans="1:21" x14ac:dyDescent="0.25">
      <c r="A9" t="s">
        <v>23</v>
      </c>
      <c r="B9">
        <v>-4.2</v>
      </c>
      <c r="C9">
        <f t="shared" si="0"/>
        <v>867.39130434782612</v>
      </c>
      <c r="D9" s="6">
        <f>C_factor!E7*E9</f>
        <v>2.1906736621239422</v>
      </c>
      <c r="E9" s="55">
        <v>2.0628786355670261</v>
      </c>
      <c r="F9" s="6">
        <f>E9*C_factor!F7</f>
        <v>1.353861500860716</v>
      </c>
      <c r="G9" s="56">
        <v>1.0289613008060505</v>
      </c>
      <c r="H9" s="56">
        <v>0.4840983956955916</v>
      </c>
      <c r="I9" s="56">
        <v>0.42469178627347076</v>
      </c>
      <c r="J9" s="6"/>
      <c r="K9" s="6"/>
      <c r="L9" s="6"/>
      <c r="M9" s="6"/>
      <c r="N9" s="6"/>
      <c r="O9" s="6"/>
      <c r="P9" s="6"/>
      <c r="Q9" s="6"/>
      <c r="R9" s="6"/>
      <c r="S9" s="6"/>
      <c r="T9" s="6"/>
      <c r="U9" s="6"/>
    </row>
    <row r="10" spans="1:21" x14ac:dyDescent="0.25">
      <c r="A10" t="s">
        <v>88</v>
      </c>
      <c r="B10">
        <v>-4.5999999999999996</v>
      </c>
      <c r="C10">
        <f t="shared" si="0"/>
        <v>950</v>
      </c>
      <c r="D10" s="6">
        <f>C_factor!E8*E10</f>
        <v>4.7141961817150415</v>
      </c>
      <c r="E10" s="55">
        <v>3.6447057505836771</v>
      </c>
      <c r="F10" s="6">
        <f>E10*C_factor!F8</f>
        <v>2.551332074015995</v>
      </c>
      <c r="G10" s="56">
        <v>0.63309621508054792</v>
      </c>
      <c r="H10" s="56">
        <v>0.35037324487988308</v>
      </c>
      <c r="I10" s="56">
        <v>0.33919263503072505</v>
      </c>
      <c r="J10" s="6"/>
      <c r="K10" s="6"/>
      <c r="L10" s="6"/>
      <c r="M10" s="6"/>
      <c r="N10" s="6"/>
      <c r="O10" s="6"/>
      <c r="P10" s="6"/>
      <c r="Q10" s="6"/>
      <c r="R10" s="6"/>
      <c r="S10" s="6"/>
      <c r="T10" s="6"/>
      <c r="U10" s="6"/>
    </row>
    <row r="11" spans="1:21" x14ac:dyDescent="0.25">
      <c r="A11" t="s">
        <v>89</v>
      </c>
      <c r="B11">
        <v>-4.7</v>
      </c>
      <c r="C11">
        <f t="shared" si="0"/>
        <v>970.65217391304361</v>
      </c>
      <c r="D11" s="6">
        <f>C_factor!E9*E11</f>
        <v>5.1065292294775961</v>
      </c>
      <c r="E11" s="55">
        <v>4.3487841404278766</v>
      </c>
      <c r="F11" s="6">
        <f>E11*C_factor!F9</f>
        <v>2.9314109282428298</v>
      </c>
      <c r="G11" s="56">
        <v>0.81856941025800778</v>
      </c>
      <c r="H11" s="56">
        <v>0.45513303312907583</v>
      </c>
      <c r="I11" s="56">
        <v>0.44348038778108928</v>
      </c>
      <c r="J11" s="6"/>
      <c r="K11" s="6"/>
      <c r="L11" s="6"/>
      <c r="M11" s="6"/>
      <c r="N11" s="6"/>
      <c r="O11" s="6"/>
      <c r="P11" s="6"/>
      <c r="Q11" s="6"/>
      <c r="R11" s="6"/>
      <c r="S11" s="6"/>
      <c r="T11" s="6"/>
      <c r="U11" s="6"/>
    </row>
    <row r="12" spans="1:21" x14ac:dyDescent="0.25">
      <c r="A12" t="s">
        <v>26</v>
      </c>
      <c r="B12">
        <v>-4.5</v>
      </c>
      <c r="C12">
        <f t="shared" si="0"/>
        <v>929.34782608695662</v>
      </c>
      <c r="D12" s="6">
        <f>C_factor!E10*E12</f>
        <v>3.9676365011995491</v>
      </c>
      <c r="E12" s="55">
        <v>3.7980967851554777</v>
      </c>
      <c r="F12" s="6">
        <f>E12*C_factor!F10</f>
        <v>3.1525794498321864</v>
      </c>
      <c r="G12" s="56">
        <v>0.77158188850145104</v>
      </c>
      <c r="H12" s="56">
        <v>0.41714262631685345</v>
      </c>
      <c r="I12" s="56">
        <v>0.4224392159915018</v>
      </c>
      <c r="J12" s="6"/>
      <c r="K12" s="6"/>
      <c r="L12" s="6"/>
      <c r="M12" s="6"/>
      <c r="N12" s="6"/>
      <c r="O12" s="6"/>
      <c r="P12" s="6"/>
      <c r="Q12" s="6"/>
      <c r="R12" s="6"/>
      <c r="S12" s="6"/>
      <c r="T12" s="6"/>
      <c r="U12" s="6"/>
    </row>
    <row r="13" spans="1:21" x14ac:dyDescent="0.25">
      <c r="A13" t="s">
        <v>27</v>
      </c>
      <c r="B13">
        <v>-3.9</v>
      </c>
      <c r="C13">
        <f t="shared" si="0"/>
        <v>805.43478260869574</v>
      </c>
      <c r="D13" s="6">
        <f>C_factor!E11*E13</f>
        <v>7.459359238138922</v>
      </c>
      <c r="E13" s="55">
        <v>5.4045012635708058</v>
      </c>
      <c r="F13" s="6">
        <f>E13*C_factor!F11</f>
        <v>4.0062099033790366</v>
      </c>
      <c r="G13" s="56">
        <v>0.83833013646810195</v>
      </c>
      <c r="H13" s="56">
        <v>0.48928932385040813</v>
      </c>
      <c r="I13" s="56">
        <v>0.47897581796512351</v>
      </c>
      <c r="J13" s="6"/>
      <c r="K13" s="6"/>
      <c r="L13" s="6"/>
      <c r="M13" s="6"/>
      <c r="N13" s="6"/>
      <c r="O13" s="6"/>
      <c r="P13" s="6"/>
      <c r="Q13" s="6"/>
      <c r="R13" s="6"/>
      <c r="S13" s="6"/>
      <c r="T13" s="6"/>
      <c r="U13" s="6"/>
    </row>
    <row r="14" spans="1:21" x14ac:dyDescent="0.25">
      <c r="A14" t="s">
        <v>28</v>
      </c>
      <c r="B14">
        <v>-4.8</v>
      </c>
      <c r="C14">
        <f t="shared" si="0"/>
        <v>991.30434782608688</v>
      </c>
      <c r="D14" s="6">
        <f>C_factor!E12*E14</f>
        <v>1.0660718945235963</v>
      </c>
      <c r="E14" s="55">
        <v>1.0619412099132683</v>
      </c>
      <c r="F14" s="6">
        <f>E14*C_factor!F12</f>
        <v>1.0342516181194747</v>
      </c>
      <c r="G14" s="56">
        <v>0.36096113503053573</v>
      </c>
      <c r="H14" s="56">
        <v>0.15402774147664727</v>
      </c>
      <c r="I14" s="56">
        <v>0.16983217322255931</v>
      </c>
      <c r="J14" s="6"/>
      <c r="K14" s="6"/>
      <c r="L14" s="6"/>
      <c r="M14" s="6"/>
      <c r="N14" s="6"/>
      <c r="O14" s="6"/>
      <c r="P14" s="6"/>
      <c r="Q14" s="6"/>
      <c r="R14" s="6"/>
      <c r="S14" s="6"/>
      <c r="T14" s="6"/>
      <c r="U14" s="6"/>
    </row>
    <row r="15" spans="1:21" x14ac:dyDescent="0.25">
      <c r="A15" t="s">
        <v>29</v>
      </c>
      <c r="B15">
        <v>-4.3</v>
      </c>
      <c r="C15">
        <f t="shared" si="0"/>
        <v>888.04347826086962</v>
      </c>
      <c r="D15" s="6">
        <f>C_factor!E13*E15</f>
        <v>5.6714084678144152</v>
      </c>
      <c r="E15" s="55">
        <v>4.5317809969225573</v>
      </c>
      <c r="F15" s="6">
        <f>E15*C_factor!F13</f>
        <v>3.0432168183472323</v>
      </c>
      <c r="G15" s="56">
        <v>0.90578941697349646</v>
      </c>
      <c r="H15" s="56">
        <v>0.46949410687015625</v>
      </c>
      <c r="I15" s="56">
        <v>0.43757464856717787</v>
      </c>
      <c r="J15" s="6"/>
      <c r="K15" s="6"/>
      <c r="L15" s="6"/>
      <c r="M15" s="6"/>
      <c r="N15" s="6"/>
      <c r="O15" s="6"/>
      <c r="P15" s="6"/>
      <c r="Q15" s="6"/>
      <c r="R15" s="6"/>
      <c r="S15" s="6"/>
      <c r="T15" s="6"/>
      <c r="U15" s="6"/>
    </row>
    <row r="16" spans="1:21" x14ac:dyDescent="0.25">
      <c r="A16" t="s">
        <v>30</v>
      </c>
      <c r="B16">
        <v>-5.2</v>
      </c>
      <c r="C16">
        <f t="shared" si="0"/>
        <v>1073.913043478261</v>
      </c>
      <c r="D16" s="6">
        <f>C_factor!E14*E16</f>
        <v>1.7827856574381846</v>
      </c>
      <c r="E16" s="55">
        <v>1.7653531982686101</v>
      </c>
      <c r="F16" s="6">
        <f>E16*C_factor!F14</f>
        <v>1.6518260046158459</v>
      </c>
      <c r="G16" s="56">
        <v>0.56886591422910904</v>
      </c>
      <c r="H16" s="56">
        <v>0.26137774837061289</v>
      </c>
      <c r="I16" s="56">
        <v>0.26923597215847073</v>
      </c>
      <c r="J16" s="6"/>
      <c r="K16" s="6"/>
      <c r="L16" s="6"/>
      <c r="M16" s="6"/>
      <c r="N16" s="6"/>
      <c r="O16" s="6"/>
      <c r="P16" s="6"/>
      <c r="Q16" s="6"/>
      <c r="R16" s="6"/>
      <c r="S16" s="6"/>
      <c r="T16" s="6"/>
      <c r="U16" s="6"/>
    </row>
    <row r="17" spans="1:21" x14ac:dyDescent="0.25">
      <c r="A17" t="s">
        <v>90</v>
      </c>
      <c r="B17">
        <v>-4.9000000000000004</v>
      </c>
      <c r="C17">
        <f t="shared" si="0"/>
        <v>1011.9565217391305</v>
      </c>
      <c r="D17" s="6">
        <f>C_factor!E15*E17</f>
        <v>5.7392940915926607</v>
      </c>
      <c r="E17" s="55">
        <v>4.3239271215767889</v>
      </c>
      <c r="F17" s="6">
        <f>E17*C_factor!F15</f>
        <v>3.0535500430951599</v>
      </c>
      <c r="G17" s="56">
        <v>0.54837187387944075</v>
      </c>
      <c r="H17" s="56">
        <v>0.38138216335494374</v>
      </c>
      <c r="I17" s="56">
        <v>0.39405214156752838</v>
      </c>
      <c r="J17" s="6"/>
      <c r="K17" s="6"/>
      <c r="L17" s="6"/>
      <c r="M17" s="6"/>
      <c r="N17" s="6"/>
      <c r="O17" s="6"/>
      <c r="P17" s="6"/>
      <c r="Q17" s="6"/>
      <c r="R17" s="6"/>
      <c r="S17" s="6"/>
      <c r="T17" s="6"/>
      <c r="U17" s="6"/>
    </row>
    <row r="18" spans="1:21" x14ac:dyDescent="0.25">
      <c r="A18" t="s">
        <v>91</v>
      </c>
      <c r="B18">
        <v>-5</v>
      </c>
      <c r="C18">
        <f t="shared" si="0"/>
        <v>1032.608695652174</v>
      </c>
      <c r="D18" s="6">
        <f>C_factor!E16*E18</f>
        <v>2.6113047195512609</v>
      </c>
      <c r="E18" s="55">
        <v>2.4689440840522843</v>
      </c>
      <c r="F18" s="6">
        <f>E18*C_factor!F16</f>
        <v>2.1001514814158502</v>
      </c>
      <c r="G18" s="56">
        <v>0.7084214551324951</v>
      </c>
      <c r="H18" s="56">
        <v>0.30078118318044694</v>
      </c>
      <c r="I18" s="56">
        <v>0.27702498050998425</v>
      </c>
      <c r="J18" s="6"/>
      <c r="K18" s="6"/>
      <c r="L18" s="6"/>
      <c r="M18" s="6"/>
      <c r="N18" s="6"/>
      <c r="O18" s="6"/>
      <c r="P18" s="6"/>
      <c r="Q18" s="6"/>
      <c r="R18" s="6"/>
      <c r="S18" s="6"/>
      <c r="T18" s="6"/>
      <c r="U18" s="6"/>
    </row>
    <row r="19" spans="1:21" x14ac:dyDescent="0.25">
      <c r="A19" t="s">
        <v>33</v>
      </c>
      <c r="B19">
        <v>-3.6</v>
      </c>
      <c r="C19">
        <f t="shared" si="0"/>
        <v>743.47826086956525</v>
      </c>
      <c r="D19" s="6">
        <f>C_factor!E17*E19</f>
        <v>15.144145014949464</v>
      </c>
      <c r="E19" s="55">
        <v>12.404512645904182</v>
      </c>
      <c r="F19" s="6">
        <f>E19*C_factor!F17</f>
        <v>9.5613477917539047</v>
      </c>
      <c r="G19" s="56">
        <v>1.6511054113589996</v>
      </c>
      <c r="H19" s="56">
        <v>1.0099315475631125</v>
      </c>
      <c r="I19" s="56">
        <v>0.97532049871811299</v>
      </c>
      <c r="J19" s="6"/>
      <c r="K19" s="6"/>
      <c r="L19" s="6"/>
      <c r="M19" s="6"/>
      <c r="N19" s="6"/>
      <c r="O19" s="6"/>
      <c r="P19" s="6"/>
      <c r="Q19" s="6"/>
      <c r="R19" s="6"/>
      <c r="S19" s="6"/>
      <c r="T19" s="6"/>
      <c r="U19" s="6"/>
    </row>
    <row r="20" spans="1:21" x14ac:dyDescent="0.25">
      <c r="A20" t="s">
        <v>34</v>
      </c>
      <c r="B20">
        <v>-3.9</v>
      </c>
      <c r="C20">
        <f t="shared" si="0"/>
        <v>805.43478260869574</v>
      </c>
      <c r="D20" s="6">
        <f>C_factor!E18*E20</f>
        <v>16.483981999873457</v>
      </c>
      <c r="E20" s="55">
        <v>14.056259334126423</v>
      </c>
      <c r="F20" s="6">
        <f>E20*C_factor!F18</f>
        <v>8.9499395001551711</v>
      </c>
      <c r="G20" s="56">
        <v>2.2328425463296733</v>
      </c>
      <c r="H20" s="56">
        <v>1.4863189340674317</v>
      </c>
      <c r="I20" s="56">
        <v>1.4756161316369167</v>
      </c>
      <c r="J20" s="6"/>
      <c r="K20" s="6"/>
      <c r="L20" s="6"/>
      <c r="M20" s="6"/>
      <c r="N20" s="6"/>
      <c r="O20" s="6"/>
      <c r="P20" s="6"/>
      <c r="Q20" s="6"/>
      <c r="R20" s="6"/>
      <c r="S20" s="6"/>
      <c r="T20" s="6"/>
      <c r="U20" s="6"/>
    </row>
    <row r="21" spans="1:21" x14ac:dyDescent="0.25">
      <c r="A21" t="s">
        <v>92</v>
      </c>
      <c r="B21">
        <v>-4.4000000000000004</v>
      </c>
      <c r="C21">
        <f t="shared" si="0"/>
        <v>908.69565217391323</v>
      </c>
      <c r="D21" s="6">
        <f>C_factor!E19*E21</f>
        <v>0.25669157973295842</v>
      </c>
      <c r="E21" s="55">
        <v>0.25344809852161176</v>
      </c>
      <c r="F21" s="6">
        <f>E21*C_factor!F19</f>
        <v>0.23112169071903349</v>
      </c>
      <c r="G21" s="56">
        <v>0.38420327621115724</v>
      </c>
      <c r="H21" s="56">
        <v>0.12520203756175208</v>
      </c>
      <c r="I21" s="56">
        <v>0.11797842380948834</v>
      </c>
      <c r="J21" s="6"/>
      <c r="K21" s="6"/>
      <c r="L21" s="6"/>
      <c r="M21" s="6"/>
      <c r="N21" s="6"/>
      <c r="O21" s="6"/>
      <c r="P21" s="6"/>
      <c r="Q21" s="6"/>
      <c r="R21" s="6"/>
      <c r="S21" s="6"/>
      <c r="T21" s="6"/>
      <c r="U21" s="6"/>
    </row>
    <row r="22" spans="1:21" x14ac:dyDescent="0.25">
      <c r="A22" t="s">
        <v>36</v>
      </c>
      <c r="B22">
        <v>-3.8</v>
      </c>
      <c r="C22">
        <f t="shared" si="0"/>
        <v>784.78260869565213</v>
      </c>
      <c r="D22" s="6">
        <f>C_factor!E20*E22</f>
        <v>5.2181381222186713</v>
      </c>
      <c r="E22" s="55">
        <v>4.8870271542475878</v>
      </c>
      <c r="F22" s="6">
        <f>E22*C_factor!F20</f>
        <v>3.2937254651539432</v>
      </c>
      <c r="G22" s="56">
        <v>0.97505802804999997</v>
      </c>
      <c r="H22" s="56">
        <v>0.58154259124725771</v>
      </c>
      <c r="I22" s="56">
        <v>0.57969535073114742</v>
      </c>
      <c r="J22" s="6"/>
      <c r="K22" s="6"/>
      <c r="L22" s="6"/>
      <c r="M22" s="6"/>
      <c r="N22" s="6"/>
      <c r="O22" s="6"/>
      <c r="P22" s="6"/>
      <c r="Q22" s="6"/>
      <c r="R22" s="6"/>
      <c r="S22" s="6"/>
      <c r="T22" s="6"/>
      <c r="U22" s="6"/>
    </row>
    <row r="23" spans="1:21" x14ac:dyDescent="0.25">
      <c r="A23" t="s">
        <v>37</v>
      </c>
      <c r="B23">
        <v>-3.8</v>
      </c>
      <c r="C23">
        <f t="shared" si="0"/>
        <v>784.78260869565213</v>
      </c>
      <c r="D23" s="6">
        <f>C_factor!E21*E23</f>
        <v>4.426380828687754</v>
      </c>
      <c r="E23" s="55">
        <v>3.6667813557465592</v>
      </c>
      <c r="F23" s="6">
        <f>E23*C_factor!F21</f>
        <v>2.3572257464282549</v>
      </c>
      <c r="G23" s="56">
        <v>0.74313794517475462</v>
      </c>
      <c r="H23" s="56">
        <v>0.39144095905942294</v>
      </c>
      <c r="I23" s="56">
        <v>0.36757174242013757</v>
      </c>
      <c r="J23" s="6"/>
      <c r="K23" s="6"/>
      <c r="L23" s="6"/>
      <c r="M23" s="6"/>
      <c r="N23" s="6"/>
      <c r="O23" s="6"/>
      <c r="P23" s="6"/>
      <c r="Q23" s="6"/>
      <c r="R23" s="6"/>
      <c r="S23" s="6"/>
      <c r="T23" s="6"/>
      <c r="U23" s="6"/>
    </row>
    <row r="24" spans="1:21" x14ac:dyDescent="0.25">
      <c r="A24" t="s">
        <v>38</v>
      </c>
      <c r="B24">
        <v>-3.4</v>
      </c>
      <c r="C24">
        <f t="shared" si="0"/>
        <v>702.17391304347836</v>
      </c>
      <c r="D24" s="6">
        <f>C_factor!E22*E24</f>
        <v>16.357112482834918</v>
      </c>
      <c r="E24" s="55">
        <v>13.455678426864672</v>
      </c>
      <c r="F24" s="6">
        <f>E24*C_factor!F22</f>
        <v>9.2076234704040889</v>
      </c>
      <c r="G24" s="56">
        <v>1.9792856665563126</v>
      </c>
      <c r="H24" s="56">
        <v>1.211679903505146</v>
      </c>
      <c r="I24" s="56">
        <v>1.1369693645291776</v>
      </c>
      <c r="J24" s="6"/>
      <c r="K24" s="6"/>
      <c r="L24" s="6"/>
      <c r="M24" s="6"/>
      <c r="N24" s="6"/>
      <c r="O24" s="6"/>
      <c r="P24" s="6"/>
      <c r="Q24" s="6"/>
      <c r="R24" s="6"/>
      <c r="S24" s="6"/>
      <c r="T24" s="6"/>
      <c r="U24" s="6"/>
    </row>
    <row r="25" spans="1:21" x14ac:dyDescent="0.25">
      <c r="A25" t="s">
        <v>39</v>
      </c>
      <c r="B25">
        <v>-3.2</v>
      </c>
      <c r="C25">
        <f t="shared" si="0"/>
        <v>660.86956521739137</v>
      </c>
      <c r="D25" s="6">
        <f>C_factor!E23*E25</f>
        <v>15.561337752930244</v>
      </c>
      <c r="E25" s="55">
        <v>13.037670746599709</v>
      </c>
      <c r="F25" s="6">
        <f>E25*C_factor!F23</f>
        <v>8.3571334488605622</v>
      </c>
      <c r="G25" s="56">
        <v>2.1711825702693153</v>
      </c>
      <c r="H25" s="56">
        <v>1.4641743190104772</v>
      </c>
      <c r="I25" s="56">
        <v>1.4488813000368763</v>
      </c>
      <c r="J25" s="6"/>
      <c r="K25" s="6"/>
      <c r="L25" s="6"/>
      <c r="M25" s="6"/>
      <c r="N25" s="6"/>
      <c r="O25" s="6"/>
      <c r="P25" s="6"/>
      <c r="Q25" s="6"/>
      <c r="R25" s="6"/>
      <c r="S25" s="6"/>
      <c r="T25" s="6"/>
      <c r="U25" s="6"/>
    </row>
    <row r="26" spans="1:21" x14ac:dyDescent="0.25">
      <c r="A26" t="s">
        <v>40</v>
      </c>
      <c r="B26">
        <v>-2.1</v>
      </c>
      <c r="C26">
        <f t="shared" si="0"/>
        <v>433.69565217391306</v>
      </c>
      <c r="D26" s="6">
        <f>C_factor!E24*E26</f>
        <v>34.505423002947779</v>
      </c>
      <c r="E26" s="55">
        <v>28.208038926353623</v>
      </c>
      <c r="F26" s="6">
        <f>E26*C_factor!F24</f>
        <v>22.303936630403456</v>
      </c>
      <c r="G26" s="56">
        <v>3.2027663462462987</v>
      </c>
      <c r="H26" s="56">
        <v>2.166063080237032</v>
      </c>
      <c r="I26" s="56">
        <v>2.1177590224831011</v>
      </c>
      <c r="J26" s="6"/>
      <c r="K26" s="6"/>
      <c r="L26" s="6"/>
      <c r="M26" s="6"/>
      <c r="N26" s="6"/>
      <c r="O26" s="6"/>
      <c r="P26" s="6"/>
      <c r="Q26" s="6"/>
      <c r="R26" s="6"/>
      <c r="S26" s="6"/>
      <c r="T26" s="6"/>
      <c r="U26" s="6"/>
    </row>
    <row r="27" spans="1:21" x14ac:dyDescent="0.25">
      <c r="A27" t="s">
        <v>41</v>
      </c>
      <c r="B27">
        <v>-4.5</v>
      </c>
      <c r="C27">
        <f t="shared" si="0"/>
        <v>929.34782608695662</v>
      </c>
      <c r="D27" s="6">
        <f>C_factor!E25*E27</f>
        <v>5.6684108183163158</v>
      </c>
      <c r="E27" s="55">
        <v>4.8945053374076561</v>
      </c>
      <c r="F27" s="6">
        <f>E27*C_factor!F25</f>
        <v>3.4522005188796929</v>
      </c>
      <c r="G27" s="56">
        <v>0.94428551979494968</v>
      </c>
      <c r="H27" s="56">
        <v>0.51206597194621117</v>
      </c>
      <c r="I27" s="56">
        <v>0.49301272289579712</v>
      </c>
      <c r="J27" s="6"/>
      <c r="K27" s="6"/>
      <c r="L27" s="6"/>
      <c r="M27" s="6"/>
      <c r="N27" s="6"/>
      <c r="O27" s="6"/>
      <c r="P27" s="6"/>
      <c r="Q27" s="6"/>
      <c r="R27" s="6"/>
      <c r="S27" s="6"/>
      <c r="T27" s="6"/>
      <c r="U27" s="6"/>
    </row>
    <row r="28" spans="1:21" x14ac:dyDescent="0.25">
      <c r="A28" t="s">
        <v>42</v>
      </c>
      <c r="B28">
        <v>-4.4000000000000004</v>
      </c>
      <c r="C28">
        <f t="shared" si="0"/>
        <v>908.69565217391323</v>
      </c>
      <c r="D28" s="6">
        <f>C_factor!E26*E28</f>
        <v>3.4823777860350305</v>
      </c>
      <c r="E28" s="55">
        <v>2.7909908559288232</v>
      </c>
      <c r="F28" s="6">
        <f>E28*C_factor!F26</f>
        <v>1.9341340845820927</v>
      </c>
      <c r="G28" s="56">
        <v>0.5341205280647715</v>
      </c>
      <c r="H28" s="56">
        <v>0.27893692309076829</v>
      </c>
      <c r="I28" s="56">
        <v>0.26722196072413062</v>
      </c>
      <c r="J28" s="6"/>
      <c r="K28" s="6"/>
      <c r="L28" s="6"/>
      <c r="M28" s="6"/>
      <c r="N28" s="6"/>
      <c r="O28" s="6"/>
      <c r="P28" s="6"/>
      <c r="Q28" s="6"/>
      <c r="R28" s="6"/>
      <c r="S28" s="6"/>
      <c r="T28" s="6"/>
      <c r="U28" s="6"/>
    </row>
    <row r="29" spans="1:21" x14ac:dyDescent="0.25">
      <c r="A29" t="s">
        <v>93</v>
      </c>
      <c r="B29">
        <v>-4.9000000000000004</v>
      </c>
      <c r="C29">
        <f t="shared" si="0"/>
        <v>1011.9565217391305</v>
      </c>
      <c r="D29" s="6">
        <f>C_factor!E27*E29</f>
        <v>1.17924520698992</v>
      </c>
      <c r="E29" s="55">
        <v>1.1736033118601592</v>
      </c>
      <c r="F29" s="6">
        <f>E29*C_factor!F27</f>
        <v>1.1336945758958248</v>
      </c>
      <c r="G29" s="56">
        <v>0.71580884418856405</v>
      </c>
      <c r="H29" s="56">
        <v>0.21992443221560665</v>
      </c>
      <c r="I29" s="56">
        <v>0.17946185292884076</v>
      </c>
      <c r="J29" s="6"/>
      <c r="K29" s="6"/>
      <c r="L29" s="6"/>
      <c r="M29" s="6"/>
      <c r="N29" s="6"/>
      <c r="O29" s="6"/>
      <c r="P29" s="6"/>
      <c r="Q29" s="6"/>
      <c r="R29" s="6"/>
      <c r="S29" s="6"/>
      <c r="T29" s="6"/>
      <c r="U29" s="6"/>
    </row>
    <row r="30" spans="1:21" x14ac:dyDescent="0.25">
      <c r="A30" t="s">
        <v>44</v>
      </c>
      <c r="B30">
        <v>-4.0999999999999996</v>
      </c>
      <c r="C30">
        <f t="shared" si="0"/>
        <v>846.73913043478262</v>
      </c>
      <c r="D30" s="6">
        <f>C_factor!E28*E30</f>
        <v>6.9976903511194894</v>
      </c>
      <c r="E30" s="55">
        <v>5.5960164376529464</v>
      </c>
      <c r="F30" s="6">
        <f>E30*C_factor!F28</f>
        <v>3.9106720677068285</v>
      </c>
      <c r="G30" s="56">
        <v>1.0223152809188456</v>
      </c>
      <c r="H30" s="56">
        <v>0.55922779454517124</v>
      </c>
      <c r="I30" s="56">
        <v>0.52959196845596579</v>
      </c>
      <c r="J30" s="6"/>
      <c r="K30" s="6"/>
      <c r="L30" s="6"/>
      <c r="M30" s="6"/>
      <c r="N30" s="6"/>
      <c r="O30" s="6"/>
      <c r="P30" s="6"/>
      <c r="Q30" s="6"/>
      <c r="R30" s="6"/>
      <c r="S30" s="6"/>
      <c r="T30" s="6"/>
      <c r="U30" s="6"/>
    </row>
    <row r="31" spans="1:21" x14ac:dyDescent="0.25">
      <c r="A31" t="s">
        <v>80</v>
      </c>
      <c r="B31">
        <v>-4.9000000000000004</v>
      </c>
      <c r="C31">
        <f t="shared" si="0"/>
        <v>1011.9565217391305</v>
      </c>
      <c r="D31" s="6">
        <f>C_factor!E29*E31</f>
        <v>1.0286929881665423</v>
      </c>
      <c r="E31" s="55">
        <v>1.0181954934850919</v>
      </c>
      <c r="F31" s="6">
        <f>E31*C_factor!F29</f>
        <v>0.96462864118280278</v>
      </c>
      <c r="G31" s="56">
        <v>0.66283731933223078</v>
      </c>
      <c r="H31" s="56">
        <v>0.22246733798839688</v>
      </c>
      <c r="I31" s="56">
        <v>0.18693047577268113</v>
      </c>
      <c r="J31" s="6"/>
      <c r="K31" s="6"/>
      <c r="L31" s="6"/>
      <c r="M31" s="6"/>
      <c r="N31" s="6"/>
      <c r="O31" s="6"/>
      <c r="P31" s="6"/>
      <c r="Q31" s="6"/>
      <c r="R31" s="6"/>
      <c r="S31" s="6"/>
      <c r="T31" s="6"/>
      <c r="U31" s="6"/>
    </row>
    <row r="32" spans="1:21" x14ac:dyDescent="0.25">
      <c r="A32" t="s">
        <v>81</v>
      </c>
      <c r="B32">
        <v>-4.5</v>
      </c>
      <c r="C32">
        <f t="shared" si="0"/>
        <v>929.34782608695662</v>
      </c>
      <c r="D32" s="6">
        <f>C_factor!E30*E32</f>
        <v>6.9206526129374355</v>
      </c>
      <c r="E32" s="55">
        <v>5.5239572668799806</v>
      </c>
      <c r="F32" s="6">
        <f>E32*C_factor!F30</f>
        <v>3.7310508810561456</v>
      </c>
      <c r="G32" s="56">
        <v>1.0128739407543015</v>
      </c>
      <c r="H32" s="56">
        <v>0.58161711627097812</v>
      </c>
      <c r="I32" s="56">
        <v>0.55524149176478066</v>
      </c>
      <c r="J32" s="6"/>
      <c r="K32" s="6"/>
      <c r="L32" s="6"/>
      <c r="M32" s="6"/>
      <c r="N32" s="6"/>
      <c r="O32" s="6"/>
      <c r="P32" s="6"/>
      <c r="Q32" s="6"/>
      <c r="R32" s="6"/>
      <c r="S32" s="6"/>
      <c r="T32" s="6"/>
      <c r="U32" s="6"/>
    </row>
    <row r="33" spans="1:21" x14ac:dyDescent="0.25">
      <c r="A33" t="s">
        <v>82</v>
      </c>
      <c r="B33">
        <v>-4.5999999999999996</v>
      </c>
      <c r="C33">
        <f>(B33/-4.6)*950</f>
        <v>950</v>
      </c>
      <c r="D33" s="6">
        <f>C_factor!E31*E33</f>
        <v>4.681301877017332</v>
      </c>
      <c r="E33" s="55">
        <v>3.9364226638242465</v>
      </c>
      <c r="F33" s="6">
        <f>E33*C_factor!F31</f>
        <v>2.5223240039642421</v>
      </c>
      <c r="G33" s="56">
        <v>0.871120130385591</v>
      </c>
      <c r="H33" s="56">
        <v>0.4584931716620031</v>
      </c>
      <c r="I33" s="56">
        <v>0.43627652477701473</v>
      </c>
      <c r="J33" s="6"/>
      <c r="K33" s="6"/>
      <c r="L33" s="6"/>
      <c r="M33" s="6"/>
      <c r="N33" s="6"/>
      <c r="O33" s="6"/>
      <c r="P33" s="6"/>
      <c r="Q33" s="6"/>
      <c r="R33" s="6"/>
      <c r="S33" s="6"/>
      <c r="T33" s="6"/>
      <c r="U33" s="6"/>
    </row>
  </sheetData>
  <sheetProtection password="C2EC" sheet="1" objects="1" scenarios="1" selectLockedCells="1" selectUnlockedCells="1"/>
  <mergeCells count="9">
    <mergeCell ref="D1:I1"/>
    <mergeCell ref="J1:O1"/>
    <mergeCell ref="P1:U1"/>
    <mergeCell ref="D2:F2"/>
    <mergeCell ref="G2:I2"/>
    <mergeCell ref="J2:L2"/>
    <mergeCell ref="M2:O2"/>
    <mergeCell ref="P2:R2"/>
    <mergeCell ref="S2:U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2" tint="-0.89999084444715716"/>
  </sheetPr>
  <dimension ref="A1:AH181"/>
  <sheetViews>
    <sheetView workbookViewId="0">
      <selection activeCell="Z41" sqref="Z41"/>
    </sheetView>
  </sheetViews>
  <sheetFormatPr defaultRowHeight="15" x14ac:dyDescent="0.25"/>
  <cols>
    <col min="6" max="6" width="9.140625" customWidth="1"/>
    <col min="26" max="26" width="12.140625" bestFit="1" customWidth="1"/>
    <col min="27" max="27" width="12.5703125" bestFit="1" customWidth="1"/>
    <col min="28" max="28" width="17.7109375" bestFit="1" customWidth="1"/>
    <col min="29" max="29" width="22.7109375" bestFit="1" customWidth="1"/>
    <col min="30" max="30" width="13.7109375" bestFit="1" customWidth="1"/>
    <col min="31" max="31" width="17.7109375" style="54" bestFit="1" customWidth="1"/>
    <col min="32" max="32" width="13.7109375" style="54" customWidth="1"/>
    <col min="33" max="33" width="14.7109375" bestFit="1" customWidth="1"/>
    <col min="34" max="34" width="17" bestFit="1" customWidth="1"/>
  </cols>
  <sheetData>
    <row r="1" spans="1:34" x14ac:dyDescent="0.25">
      <c r="B1" t="s">
        <v>83</v>
      </c>
      <c r="C1" t="s">
        <v>84</v>
      </c>
      <c r="D1" t="s">
        <v>48</v>
      </c>
      <c r="E1" t="s">
        <v>85</v>
      </c>
      <c r="F1" t="s">
        <v>196</v>
      </c>
      <c r="G1" t="s">
        <v>197</v>
      </c>
      <c r="H1" t="s">
        <v>198</v>
      </c>
      <c r="I1" t="s">
        <v>199</v>
      </c>
      <c r="J1" t="s">
        <v>200</v>
      </c>
      <c r="K1" t="s">
        <v>201</v>
      </c>
      <c r="L1" t="s">
        <v>202</v>
      </c>
      <c r="M1" t="s">
        <v>203</v>
      </c>
      <c r="N1" t="s">
        <v>204</v>
      </c>
      <c r="O1" t="s">
        <v>205</v>
      </c>
      <c r="P1" t="s">
        <v>206</v>
      </c>
      <c r="Q1" t="s">
        <v>207</v>
      </c>
      <c r="R1" t="s">
        <v>208</v>
      </c>
      <c r="S1" t="s">
        <v>209</v>
      </c>
      <c r="T1" t="s">
        <v>210</v>
      </c>
      <c r="U1" t="s">
        <v>211</v>
      </c>
      <c r="V1" t="s">
        <v>212</v>
      </c>
      <c r="W1" t="s">
        <v>213</v>
      </c>
      <c r="X1" t="s">
        <v>214</v>
      </c>
      <c r="Y1" t="s">
        <v>215</v>
      </c>
      <c r="Z1" t="s">
        <v>216</v>
      </c>
      <c r="AB1" t="s">
        <v>222</v>
      </c>
      <c r="AC1" t="s">
        <v>223</v>
      </c>
      <c r="AD1" t="s">
        <v>224</v>
      </c>
      <c r="AE1" s="54" t="s">
        <v>225</v>
      </c>
      <c r="AG1" t="s">
        <v>220</v>
      </c>
      <c r="AH1" t="s">
        <v>221</v>
      </c>
    </row>
    <row r="2" spans="1:34" x14ac:dyDescent="0.25">
      <c r="A2">
        <v>1</v>
      </c>
      <c r="B2">
        <v>2017</v>
      </c>
      <c r="C2">
        <v>73</v>
      </c>
      <c r="D2" t="s">
        <v>87</v>
      </c>
      <c r="E2" t="s">
        <v>292</v>
      </c>
      <c r="F2">
        <v>11.37</v>
      </c>
      <c r="G2" t="s">
        <v>217</v>
      </c>
      <c r="H2">
        <v>1</v>
      </c>
      <c r="I2">
        <v>13</v>
      </c>
      <c r="J2">
        <v>26.659079999999999</v>
      </c>
      <c r="K2">
        <v>2017</v>
      </c>
      <c r="L2">
        <v>10</v>
      </c>
      <c r="M2">
        <f>AG2+AH2</f>
        <v>1755.3043478</v>
      </c>
      <c r="N2">
        <v>1</v>
      </c>
      <c r="O2">
        <v>1</v>
      </c>
      <c r="P2">
        <v>1</v>
      </c>
      <c r="Q2">
        <v>3</v>
      </c>
      <c r="R2">
        <v>5</v>
      </c>
      <c r="S2">
        <v>1</v>
      </c>
      <c r="T2" t="s">
        <v>218</v>
      </c>
      <c r="U2">
        <v>8</v>
      </c>
      <c r="V2">
        <v>75.200918350205114</v>
      </c>
      <c r="X2">
        <v>75.200918350205114</v>
      </c>
      <c r="Y2">
        <v>8</v>
      </c>
      <c r="Z2">
        <v>15.87</v>
      </c>
      <c r="AB2">
        <v>0.21317853951375521</v>
      </c>
      <c r="AC2">
        <f>F2*AB2</f>
        <v>2.4238399942713964</v>
      </c>
      <c r="AD2">
        <v>7.6506713663060104</v>
      </c>
      <c r="AE2" s="54">
        <f>AD2/10</f>
        <v>0.765067136630601</v>
      </c>
      <c r="AG2">
        <v>764</v>
      </c>
      <c r="AH2" s="54">
        <v>991.30434779999996</v>
      </c>
    </row>
    <row r="3" spans="1:34" x14ac:dyDescent="0.25">
      <c r="A3">
        <v>1</v>
      </c>
      <c r="M3" s="54"/>
      <c r="AB3" t="s">
        <v>101</v>
      </c>
      <c r="AC3" s="54" t="e">
        <f t="shared" ref="AC3:AC66" si="0">F3*AB3</f>
        <v>#VALUE!</v>
      </c>
      <c r="AE3" s="54">
        <f t="shared" ref="AE3:AE66" si="1">AD3/10</f>
        <v>0</v>
      </c>
      <c r="AH3" s="54"/>
    </row>
    <row r="4" spans="1:34" x14ac:dyDescent="0.25">
      <c r="A4">
        <v>1</v>
      </c>
      <c r="B4">
        <v>2017</v>
      </c>
      <c r="C4">
        <v>73</v>
      </c>
      <c r="D4" t="s">
        <v>87</v>
      </c>
      <c r="E4" t="s">
        <v>74</v>
      </c>
      <c r="F4">
        <v>11.37</v>
      </c>
      <c r="G4" t="s">
        <v>217</v>
      </c>
      <c r="H4">
        <v>1</v>
      </c>
      <c r="I4">
        <v>13</v>
      </c>
      <c r="J4">
        <v>26.659079999999999</v>
      </c>
      <c r="K4">
        <v>2017</v>
      </c>
      <c r="L4">
        <v>10</v>
      </c>
      <c r="M4" s="54">
        <f>AG4+AH4</f>
        <v>1755.3043478</v>
      </c>
      <c r="N4">
        <v>1</v>
      </c>
      <c r="O4">
        <v>2</v>
      </c>
      <c r="P4">
        <v>1</v>
      </c>
      <c r="Q4">
        <v>3</v>
      </c>
      <c r="R4">
        <v>4</v>
      </c>
      <c r="S4">
        <v>2</v>
      </c>
      <c r="T4" t="s">
        <v>218</v>
      </c>
      <c r="U4">
        <v>5</v>
      </c>
      <c r="V4">
        <v>60.160734680164097</v>
      </c>
      <c r="Y4">
        <v>5</v>
      </c>
      <c r="Z4">
        <v>15.87</v>
      </c>
      <c r="AB4">
        <v>0.21317853951375521</v>
      </c>
      <c r="AC4" s="54">
        <f t="shared" si="0"/>
        <v>2.4238399942713964</v>
      </c>
      <c r="AD4">
        <v>3.9276727459152352</v>
      </c>
      <c r="AE4" s="54">
        <f t="shared" si="1"/>
        <v>0.3927672745915235</v>
      </c>
      <c r="AG4">
        <v>764</v>
      </c>
      <c r="AH4" s="54">
        <v>991.30434779999996</v>
      </c>
    </row>
    <row r="5" spans="1:34" x14ac:dyDescent="0.25">
      <c r="A5">
        <v>1</v>
      </c>
      <c r="M5" s="54"/>
      <c r="AB5" t="s">
        <v>101</v>
      </c>
      <c r="AC5" s="54" t="e">
        <f t="shared" si="0"/>
        <v>#VALUE!</v>
      </c>
      <c r="AE5" s="54">
        <f t="shared" si="1"/>
        <v>0</v>
      </c>
      <c r="AH5" s="54"/>
    </row>
    <row r="6" spans="1:34" x14ac:dyDescent="0.25">
      <c r="A6">
        <v>1</v>
      </c>
      <c r="B6">
        <v>2017</v>
      </c>
      <c r="C6">
        <v>73</v>
      </c>
      <c r="D6" t="s">
        <v>87</v>
      </c>
      <c r="E6" t="s">
        <v>77</v>
      </c>
      <c r="F6">
        <v>11.37</v>
      </c>
      <c r="G6" t="s">
        <v>217</v>
      </c>
      <c r="H6">
        <v>1</v>
      </c>
      <c r="I6">
        <v>13</v>
      </c>
      <c r="J6">
        <v>26.659079999999999</v>
      </c>
      <c r="K6">
        <v>2017</v>
      </c>
      <c r="L6">
        <v>10</v>
      </c>
      <c r="M6" s="54">
        <f>AG6+AH6</f>
        <v>1755.3043478</v>
      </c>
      <c r="N6">
        <v>3</v>
      </c>
      <c r="O6">
        <v>3</v>
      </c>
      <c r="P6">
        <v>1</v>
      </c>
      <c r="Q6">
        <v>3</v>
      </c>
      <c r="R6">
        <v>3</v>
      </c>
      <c r="S6">
        <v>2</v>
      </c>
      <c r="T6" t="s">
        <v>218</v>
      </c>
      <c r="U6">
        <v>2</v>
      </c>
      <c r="V6">
        <v>20</v>
      </c>
      <c r="Y6">
        <v>6</v>
      </c>
      <c r="Z6">
        <v>15.87</v>
      </c>
      <c r="AB6">
        <v>0.21317853951375521</v>
      </c>
      <c r="AC6" s="54">
        <f t="shared" si="0"/>
        <v>2.4238399942713964</v>
      </c>
      <c r="AD6">
        <v>3.8118238861846026</v>
      </c>
      <c r="AE6" s="54">
        <f t="shared" si="1"/>
        <v>0.38118238861846027</v>
      </c>
      <c r="AG6">
        <v>764</v>
      </c>
      <c r="AH6" s="54">
        <v>991.30434779999996</v>
      </c>
    </row>
    <row r="7" spans="1:34" x14ac:dyDescent="0.25">
      <c r="A7">
        <v>1</v>
      </c>
      <c r="M7" s="54"/>
      <c r="AB7" t="s">
        <v>101</v>
      </c>
      <c r="AC7" s="54" t="e">
        <f t="shared" si="0"/>
        <v>#VALUE!</v>
      </c>
      <c r="AE7" s="54">
        <f t="shared" si="1"/>
        <v>0</v>
      </c>
      <c r="AH7" s="54"/>
    </row>
    <row r="8" spans="1:34" x14ac:dyDescent="0.25">
      <c r="A8">
        <v>1</v>
      </c>
      <c r="B8">
        <v>2017</v>
      </c>
      <c r="C8">
        <v>2</v>
      </c>
      <c r="D8" t="s">
        <v>19</v>
      </c>
      <c r="E8" t="s">
        <v>292</v>
      </c>
      <c r="F8">
        <v>16.100000000000001</v>
      </c>
      <c r="G8" t="s">
        <v>219</v>
      </c>
      <c r="H8">
        <v>1</v>
      </c>
      <c r="I8">
        <v>16</v>
      </c>
      <c r="J8">
        <v>23.067900000000002</v>
      </c>
      <c r="K8">
        <v>2017</v>
      </c>
      <c r="L8">
        <v>10</v>
      </c>
      <c r="M8" s="54">
        <f>AG8+AH8</f>
        <v>1556.7391304</v>
      </c>
      <c r="N8">
        <v>1</v>
      </c>
      <c r="O8">
        <v>1</v>
      </c>
      <c r="P8">
        <v>1</v>
      </c>
      <c r="Q8">
        <v>3</v>
      </c>
      <c r="R8">
        <v>5</v>
      </c>
      <c r="S8">
        <v>1</v>
      </c>
      <c r="T8" t="s">
        <v>218</v>
      </c>
      <c r="U8">
        <v>8</v>
      </c>
      <c r="V8">
        <v>31.579359773665992</v>
      </c>
      <c r="X8">
        <v>31.579359773665992</v>
      </c>
      <c r="Y8">
        <v>8</v>
      </c>
      <c r="Z8">
        <v>6.21</v>
      </c>
      <c r="AB8">
        <v>0.21853980049980951</v>
      </c>
      <c r="AC8" s="54">
        <f t="shared" si="0"/>
        <v>3.5184907880469334</v>
      </c>
      <c r="AD8">
        <v>7.7962031326678272</v>
      </c>
      <c r="AE8" s="54">
        <f t="shared" si="1"/>
        <v>0.77962031326678272</v>
      </c>
      <c r="AG8">
        <v>710</v>
      </c>
      <c r="AH8" s="54">
        <v>846.73913040000002</v>
      </c>
    </row>
    <row r="9" spans="1:34" x14ac:dyDescent="0.25">
      <c r="A9">
        <v>1</v>
      </c>
      <c r="M9" s="54"/>
      <c r="AB9" t="s">
        <v>101</v>
      </c>
      <c r="AC9" s="54" t="e">
        <f t="shared" si="0"/>
        <v>#VALUE!</v>
      </c>
      <c r="AE9" s="54">
        <f t="shared" si="1"/>
        <v>0</v>
      </c>
      <c r="AH9" s="54"/>
    </row>
    <row r="10" spans="1:34" x14ac:dyDescent="0.25">
      <c r="A10">
        <v>1</v>
      </c>
      <c r="B10">
        <v>2017</v>
      </c>
      <c r="C10">
        <v>2</v>
      </c>
      <c r="D10" t="s">
        <v>19</v>
      </c>
      <c r="E10" t="s">
        <v>74</v>
      </c>
      <c r="F10">
        <v>16.100000000000001</v>
      </c>
      <c r="G10" t="s">
        <v>219</v>
      </c>
      <c r="H10">
        <v>1</v>
      </c>
      <c r="I10">
        <v>16</v>
      </c>
      <c r="J10">
        <v>23.067900000000002</v>
      </c>
      <c r="K10">
        <v>2017</v>
      </c>
      <c r="L10">
        <v>10</v>
      </c>
      <c r="M10" s="54">
        <f>AG10+AH10</f>
        <v>1556.7391304</v>
      </c>
      <c r="N10">
        <v>1</v>
      </c>
      <c r="O10">
        <v>2</v>
      </c>
      <c r="P10">
        <v>1</v>
      </c>
      <c r="Q10">
        <v>3</v>
      </c>
      <c r="R10">
        <v>4</v>
      </c>
      <c r="S10">
        <v>2</v>
      </c>
      <c r="T10" t="s">
        <v>218</v>
      </c>
      <c r="U10">
        <v>5</v>
      </c>
      <c r="V10">
        <v>25.263487818932795</v>
      </c>
      <c r="Y10">
        <v>5</v>
      </c>
      <c r="Z10">
        <v>6.21</v>
      </c>
      <c r="AB10">
        <v>0.21853980049980951</v>
      </c>
      <c r="AC10" s="54">
        <f t="shared" si="0"/>
        <v>3.5184907880469334</v>
      </c>
      <c r="AD10">
        <v>5.4239345018744469</v>
      </c>
      <c r="AE10" s="54">
        <f t="shared" si="1"/>
        <v>0.54239345018744467</v>
      </c>
      <c r="AG10">
        <v>710</v>
      </c>
      <c r="AH10" s="54">
        <v>846.73913040000002</v>
      </c>
    </row>
    <row r="11" spans="1:34" x14ac:dyDescent="0.25">
      <c r="A11">
        <v>1</v>
      </c>
      <c r="M11" s="54"/>
      <c r="AB11" t="s">
        <v>101</v>
      </c>
      <c r="AC11" s="54" t="e">
        <f t="shared" si="0"/>
        <v>#VALUE!</v>
      </c>
      <c r="AE11" s="54">
        <f t="shared" si="1"/>
        <v>0</v>
      </c>
      <c r="AH11" s="54"/>
    </row>
    <row r="12" spans="1:34" x14ac:dyDescent="0.25">
      <c r="A12">
        <v>1</v>
      </c>
      <c r="B12">
        <v>2017</v>
      </c>
      <c r="C12">
        <v>2</v>
      </c>
      <c r="D12" t="s">
        <v>19</v>
      </c>
      <c r="E12" t="s">
        <v>77</v>
      </c>
      <c r="F12">
        <v>16.100000000000001</v>
      </c>
      <c r="G12" t="s">
        <v>219</v>
      </c>
      <c r="H12">
        <v>1</v>
      </c>
      <c r="I12">
        <v>16</v>
      </c>
      <c r="J12">
        <v>23.067900000000002</v>
      </c>
      <c r="K12">
        <v>2017</v>
      </c>
      <c r="L12">
        <v>10</v>
      </c>
      <c r="M12" s="54">
        <f>AG12+AH12</f>
        <v>1556.7391304</v>
      </c>
      <c r="N12">
        <v>3</v>
      </c>
      <c r="O12">
        <v>3</v>
      </c>
      <c r="P12">
        <v>1</v>
      </c>
      <c r="Q12">
        <v>3</v>
      </c>
      <c r="R12">
        <v>3</v>
      </c>
      <c r="S12">
        <v>2</v>
      </c>
      <c r="T12" t="s">
        <v>218</v>
      </c>
      <c r="U12">
        <v>2</v>
      </c>
      <c r="V12">
        <v>20</v>
      </c>
      <c r="Y12">
        <v>6</v>
      </c>
      <c r="Z12">
        <v>6.21</v>
      </c>
      <c r="AB12">
        <v>0.21853980049980951</v>
      </c>
      <c r="AC12" s="54">
        <f t="shared" si="0"/>
        <v>3.5184907880469334</v>
      </c>
      <c r="AD12">
        <v>5.6813278081271239</v>
      </c>
      <c r="AE12" s="54">
        <f t="shared" si="1"/>
        <v>0.56813278081271235</v>
      </c>
      <c r="AG12">
        <v>710</v>
      </c>
      <c r="AH12" s="54">
        <v>846.73913040000002</v>
      </c>
    </row>
    <row r="13" spans="1:34" x14ac:dyDescent="0.25">
      <c r="A13">
        <v>1</v>
      </c>
      <c r="M13" s="54"/>
      <c r="AB13" t="s">
        <v>101</v>
      </c>
      <c r="AC13" s="54" t="e">
        <f t="shared" si="0"/>
        <v>#VALUE!</v>
      </c>
      <c r="AE13" s="54">
        <f t="shared" si="1"/>
        <v>0</v>
      </c>
      <c r="AH13" s="54"/>
    </row>
    <row r="14" spans="1:34" x14ac:dyDescent="0.25">
      <c r="A14">
        <v>1</v>
      </c>
      <c r="B14">
        <v>2017</v>
      </c>
      <c r="C14">
        <v>79</v>
      </c>
      <c r="D14" t="s">
        <v>20</v>
      </c>
      <c r="E14" t="s">
        <v>292</v>
      </c>
      <c r="F14">
        <v>265.41000000000003</v>
      </c>
      <c r="G14" t="s">
        <v>217</v>
      </c>
      <c r="H14">
        <v>2</v>
      </c>
      <c r="I14">
        <v>3</v>
      </c>
      <c r="J14">
        <v>24.04486</v>
      </c>
      <c r="K14">
        <v>2017</v>
      </c>
      <c r="L14">
        <v>10</v>
      </c>
      <c r="M14" s="54">
        <f>AG14+AH14</f>
        <v>1193.6521739</v>
      </c>
      <c r="N14">
        <v>1</v>
      </c>
      <c r="O14">
        <v>1</v>
      </c>
      <c r="P14">
        <v>1</v>
      </c>
      <c r="Q14">
        <v>4</v>
      </c>
      <c r="R14">
        <v>5</v>
      </c>
      <c r="S14">
        <v>1</v>
      </c>
      <c r="T14" t="s">
        <v>218</v>
      </c>
      <c r="U14">
        <v>8</v>
      </c>
      <c r="V14">
        <v>82.64315848764285</v>
      </c>
      <c r="X14">
        <v>82.64315848764285</v>
      </c>
      <c r="Y14">
        <v>8</v>
      </c>
      <c r="Z14">
        <v>44.39</v>
      </c>
      <c r="AB14">
        <v>0.23088407799953375</v>
      </c>
      <c r="AC14" s="54">
        <f t="shared" si="0"/>
        <v>61.27894314185626</v>
      </c>
      <c r="AD14">
        <v>64.434881124700055</v>
      </c>
      <c r="AE14" s="54">
        <f t="shared" si="1"/>
        <v>6.4434881124700052</v>
      </c>
      <c r="AG14">
        <v>698</v>
      </c>
      <c r="AH14" s="54">
        <v>495.65217389999998</v>
      </c>
    </row>
    <row r="15" spans="1:34" x14ac:dyDescent="0.25">
      <c r="A15">
        <v>1</v>
      </c>
      <c r="M15" s="54"/>
      <c r="AB15" t="s">
        <v>101</v>
      </c>
      <c r="AC15" s="54" t="e">
        <f t="shared" si="0"/>
        <v>#VALUE!</v>
      </c>
      <c r="AE15" s="54">
        <f t="shared" si="1"/>
        <v>0</v>
      </c>
      <c r="AH15" s="54"/>
    </row>
    <row r="16" spans="1:34" x14ac:dyDescent="0.25">
      <c r="A16">
        <v>1</v>
      </c>
      <c r="B16">
        <v>2017</v>
      </c>
      <c r="C16">
        <v>79</v>
      </c>
      <c r="D16" t="s">
        <v>20</v>
      </c>
      <c r="E16" t="s">
        <v>74</v>
      </c>
      <c r="F16">
        <v>265.41000000000003</v>
      </c>
      <c r="G16" t="s">
        <v>217</v>
      </c>
      <c r="H16">
        <v>2</v>
      </c>
      <c r="I16">
        <v>3</v>
      </c>
      <c r="J16">
        <v>24.04486</v>
      </c>
      <c r="K16">
        <v>2017</v>
      </c>
      <c r="L16">
        <v>10</v>
      </c>
      <c r="M16" s="54">
        <f>AG16+AH16</f>
        <v>1193.6521739</v>
      </c>
      <c r="N16">
        <v>1</v>
      </c>
      <c r="O16">
        <v>2</v>
      </c>
      <c r="P16">
        <v>1</v>
      </c>
      <c r="Q16">
        <v>4</v>
      </c>
      <c r="R16">
        <v>4</v>
      </c>
      <c r="S16">
        <v>2</v>
      </c>
      <c r="T16" t="s">
        <v>218</v>
      </c>
      <c r="U16">
        <v>5</v>
      </c>
      <c r="V16">
        <v>66.114526790114283</v>
      </c>
      <c r="Y16">
        <v>5</v>
      </c>
      <c r="Z16">
        <v>44.39</v>
      </c>
      <c r="AB16">
        <v>0.23088407799953375</v>
      </c>
      <c r="AC16" s="54">
        <f t="shared" si="0"/>
        <v>61.27894314185626</v>
      </c>
      <c r="AD16">
        <v>45.83716320760854</v>
      </c>
      <c r="AE16" s="54">
        <f t="shared" si="1"/>
        <v>4.5837163207608542</v>
      </c>
      <c r="AG16">
        <v>698</v>
      </c>
      <c r="AH16" s="54">
        <v>495.65217389999998</v>
      </c>
    </row>
    <row r="17" spans="1:34" x14ac:dyDescent="0.25">
      <c r="A17">
        <v>1</v>
      </c>
      <c r="M17" s="54"/>
      <c r="AB17" t="s">
        <v>101</v>
      </c>
      <c r="AC17" s="54" t="e">
        <f t="shared" si="0"/>
        <v>#VALUE!</v>
      </c>
      <c r="AE17" s="54">
        <f t="shared" si="1"/>
        <v>0</v>
      </c>
      <c r="AH17" s="54"/>
    </row>
    <row r="18" spans="1:34" x14ac:dyDescent="0.25">
      <c r="A18">
        <v>1</v>
      </c>
      <c r="B18">
        <v>2017</v>
      </c>
      <c r="C18">
        <v>79</v>
      </c>
      <c r="D18" t="s">
        <v>20</v>
      </c>
      <c r="E18" t="s">
        <v>77</v>
      </c>
      <c r="F18">
        <v>265.41000000000003</v>
      </c>
      <c r="G18" t="s">
        <v>217</v>
      </c>
      <c r="H18">
        <v>2</v>
      </c>
      <c r="I18">
        <v>3</v>
      </c>
      <c r="J18">
        <v>24.04486</v>
      </c>
      <c r="K18">
        <v>2017</v>
      </c>
      <c r="L18">
        <v>10</v>
      </c>
      <c r="M18" s="54">
        <f>AG18+AH18</f>
        <v>1193.6521739</v>
      </c>
      <c r="N18">
        <v>3</v>
      </c>
      <c r="O18">
        <v>3</v>
      </c>
      <c r="P18">
        <v>1</v>
      </c>
      <c r="Q18">
        <v>4</v>
      </c>
      <c r="R18">
        <v>3</v>
      </c>
      <c r="S18">
        <v>2</v>
      </c>
      <c r="T18" t="s">
        <v>218</v>
      </c>
      <c r="U18">
        <v>2</v>
      </c>
      <c r="V18">
        <v>20</v>
      </c>
      <c r="Y18">
        <v>6</v>
      </c>
      <c r="Z18">
        <v>44.39</v>
      </c>
      <c r="AB18">
        <v>0.23088407799953375</v>
      </c>
      <c r="AC18" s="54">
        <f t="shared" si="0"/>
        <v>61.27894314185626</v>
      </c>
      <c r="AD18">
        <v>45.313028376408084</v>
      </c>
      <c r="AE18" s="54">
        <f t="shared" si="1"/>
        <v>4.5313028376408084</v>
      </c>
      <c r="AG18">
        <v>698</v>
      </c>
      <c r="AH18" s="54">
        <v>495.65217389999998</v>
      </c>
    </row>
    <row r="19" spans="1:34" x14ac:dyDescent="0.25">
      <c r="A19">
        <v>1</v>
      </c>
      <c r="M19" s="54"/>
      <c r="AB19" t="s">
        <v>101</v>
      </c>
      <c r="AC19" s="54" t="e">
        <f t="shared" si="0"/>
        <v>#VALUE!</v>
      </c>
      <c r="AE19" s="54">
        <f t="shared" si="1"/>
        <v>0</v>
      </c>
      <c r="AH19" s="54"/>
    </row>
    <row r="20" spans="1:34" x14ac:dyDescent="0.25">
      <c r="A20">
        <v>1</v>
      </c>
      <c r="B20">
        <v>2017</v>
      </c>
      <c r="C20">
        <v>77</v>
      </c>
      <c r="D20" t="s">
        <v>21</v>
      </c>
      <c r="E20" t="s">
        <v>292</v>
      </c>
      <c r="F20">
        <v>15.7</v>
      </c>
      <c r="G20" t="s">
        <v>217</v>
      </c>
      <c r="H20">
        <v>1</v>
      </c>
      <c r="I20">
        <v>12</v>
      </c>
      <c r="J20">
        <v>30.828199999999999</v>
      </c>
      <c r="K20">
        <v>2017</v>
      </c>
      <c r="L20">
        <v>10</v>
      </c>
      <c r="M20" s="54">
        <f>AG20+AH20</f>
        <v>1583.0434783000001</v>
      </c>
      <c r="N20">
        <v>1</v>
      </c>
      <c r="O20">
        <v>1</v>
      </c>
      <c r="P20">
        <v>1</v>
      </c>
      <c r="Q20">
        <v>3</v>
      </c>
      <c r="R20">
        <v>5</v>
      </c>
      <c r="S20">
        <v>1</v>
      </c>
      <c r="T20" t="s">
        <v>218</v>
      </c>
      <c r="U20">
        <v>8</v>
      </c>
      <c r="V20">
        <v>62.438076111232874</v>
      </c>
      <c r="X20">
        <v>62.438076111232874</v>
      </c>
      <c r="Y20">
        <v>8</v>
      </c>
      <c r="Z20">
        <v>24.15</v>
      </c>
      <c r="AB20">
        <v>0.21778347879909227</v>
      </c>
      <c r="AC20" s="54">
        <f t="shared" si="0"/>
        <v>3.4192006171457483</v>
      </c>
      <c r="AD20">
        <v>8.8119975137598896</v>
      </c>
      <c r="AE20" s="54">
        <f t="shared" si="1"/>
        <v>0.88119975137598894</v>
      </c>
      <c r="AG20">
        <v>695</v>
      </c>
      <c r="AH20" s="54">
        <v>888.04347829999995</v>
      </c>
    </row>
    <row r="21" spans="1:34" x14ac:dyDescent="0.25">
      <c r="A21">
        <v>1</v>
      </c>
      <c r="M21" s="54"/>
      <c r="AB21" t="s">
        <v>101</v>
      </c>
      <c r="AC21" s="54" t="e">
        <f t="shared" si="0"/>
        <v>#VALUE!</v>
      </c>
      <c r="AE21" s="54">
        <f t="shared" si="1"/>
        <v>0</v>
      </c>
      <c r="AH21" s="54"/>
    </row>
    <row r="22" spans="1:34" x14ac:dyDescent="0.25">
      <c r="A22">
        <v>1</v>
      </c>
      <c r="B22">
        <v>2017</v>
      </c>
      <c r="C22">
        <v>77</v>
      </c>
      <c r="D22" t="s">
        <v>21</v>
      </c>
      <c r="E22" t="s">
        <v>74</v>
      </c>
      <c r="F22">
        <v>15.7</v>
      </c>
      <c r="G22" t="s">
        <v>217</v>
      </c>
      <c r="H22">
        <v>1</v>
      </c>
      <c r="I22">
        <v>12</v>
      </c>
      <c r="J22">
        <v>30.828199999999999</v>
      </c>
      <c r="K22">
        <v>2017</v>
      </c>
      <c r="L22">
        <v>10</v>
      </c>
      <c r="M22" s="54">
        <f>AG22+AH22</f>
        <v>1583.0434783000001</v>
      </c>
      <c r="N22">
        <v>1</v>
      </c>
      <c r="O22">
        <v>2</v>
      </c>
      <c r="P22">
        <v>1</v>
      </c>
      <c r="Q22">
        <v>3</v>
      </c>
      <c r="R22">
        <v>4</v>
      </c>
      <c r="S22">
        <v>2</v>
      </c>
      <c r="T22" t="s">
        <v>218</v>
      </c>
      <c r="U22">
        <v>5</v>
      </c>
      <c r="V22">
        <v>49.950460888986299</v>
      </c>
      <c r="Y22">
        <v>5</v>
      </c>
      <c r="Z22">
        <v>24.15</v>
      </c>
      <c r="AB22">
        <v>0.21778347879909227</v>
      </c>
      <c r="AC22" s="54">
        <f t="shared" si="0"/>
        <v>3.4192006171457483</v>
      </c>
      <c r="AD22">
        <v>5.0541790562729654</v>
      </c>
      <c r="AE22" s="54">
        <f t="shared" si="1"/>
        <v>0.50541790562729649</v>
      </c>
      <c r="AG22">
        <v>695</v>
      </c>
      <c r="AH22" s="54">
        <v>888.04347829999995</v>
      </c>
    </row>
    <row r="23" spans="1:34" x14ac:dyDescent="0.25">
      <c r="A23">
        <v>1</v>
      </c>
      <c r="M23" s="54"/>
      <c r="AB23" t="s">
        <v>101</v>
      </c>
      <c r="AC23" s="54" t="e">
        <f t="shared" si="0"/>
        <v>#VALUE!</v>
      </c>
      <c r="AE23" s="54">
        <f t="shared" si="1"/>
        <v>0</v>
      </c>
      <c r="AH23" s="54"/>
    </row>
    <row r="24" spans="1:34" x14ac:dyDescent="0.25">
      <c r="A24">
        <v>1</v>
      </c>
      <c r="B24">
        <v>2017</v>
      </c>
      <c r="C24">
        <v>77</v>
      </c>
      <c r="D24" t="s">
        <v>21</v>
      </c>
      <c r="E24" t="s">
        <v>77</v>
      </c>
      <c r="F24">
        <v>15.7</v>
      </c>
      <c r="G24" t="s">
        <v>217</v>
      </c>
      <c r="H24">
        <v>1</v>
      </c>
      <c r="I24">
        <v>12</v>
      </c>
      <c r="J24">
        <v>30.828199999999999</v>
      </c>
      <c r="K24">
        <v>2017</v>
      </c>
      <c r="L24">
        <v>10</v>
      </c>
      <c r="M24" s="54">
        <f>AG24+AH24</f>
        <v>1583.0434783000001</v>
      </c>
      <c r="N24">
        <v>3</v>
      </c>
      <c r="O24">
        <v>3</v>
      </c>
      <c r="P24">
        <v>1</v>
      </c>
      <c r="Q24">
        <v>3</v>
      </c>
      <c r="R24">
        <v>3</v>
      </c>
      <c r="S24">
        <v>2</v>
      </c>
      <c r="T24" t="s">
        <v>218</v>
      </c>
      <c r="U24">
        <v>2</v>
      </c>
      <c r="V24">
        <v>20</v>
      </c>
      <c r="Y24">
        <v>6</v>
      </c>
      <c r="Z24">
        <v>24.15</v>
      </c>
      <c r="AB24">
        <v>0.21778347879909227</v>
      </c>
      <c r="AC24" s="54">
        <f t="shared" si="0"/>
        <v>3.4192006171457483</v>
      </c>
      <c r="AD24">
        <v>4.9799644307683817</v>
      </c>
      <c r="AE24" s="54">
        <f t="shared" si="1"/>
        <v>0.49799644307683816</v>
      </c>
      <c r="AG24">
        <v>695</v>
      </c>
      <c r="AH24" s="54">
        <v>888.04347829999995</v>
      </c>
    </row>
    <row r="25" spans="1:34" x14ac:dyDescent="0.25">
      <c r="A25">
        <v>1</v>
      </c>
      <c r="M25" s="54"/>
      <c r="AB25" t="s">
        <v>101</v>
      </c>
      <c r="AC25" s="54" t="e">
        <f t="shared" si="0"/>
        <v>#VALUE!</v>
      </c>
      <c r="AE25" s="54">
        <f t="shared" si="1"/>
        <v>0</v>
      </c>
      <c r="AH25" s="54"/>
    </row>
    <row r="26" spans="1:34" x14ac:dyDescent="0.25">
      <c r="A26">
        <v>1</v>
      </c>
      <c r="B26">
        <v>2017</v>
      </c>
      <c r="C26">
        <v>51</v>
      </c>
      <c r="D26" t="s">
        <v>22</v>
      </c>
      <c r="E26" t="s">
        <v>292</v>
      </c>
      <c r="F26">
        <v>28.96</v>
      </c>
      <c r="G26" t="s">
        <v>217</v>
      </c>
      <c r="H26">
        <v>2</v>
      </c>
      <c r="I26">
        <v>5</v>
      </c>
      <c r="J26">
        <v>11.6724</v>
      </c>
      <c r="K26">
        <v>2017</v>
      </c>
      <c r="L26">
        <v>10</v>
      </c>
      <c r="M26" s="54">
        <f>AG26+AH26</f>
        <v>1824.0434783000001</v>
      </c>
      <c r="N26">
        <v>1</v>
      </c>
      <c r="O26">
        <v>1</v>
      </c>
      <c r="P26">
        <v>1</v>
      </c>
      <c r="Q26">
        <v>4</v>
      </c>
      <c r="R26">
        <v>5</v>
      </c>
      <c r="S26">
        <v>1</v>
      </c>
      <c r="T26" t="s">
        <v>218</v>
      </c>
      <c r="U26">
        <v>8</v>
      </c>
      <c r="V26">
        <v>84.984021800775452</v>
      </c>
      <c r="X26">
        <v>84.984021800775452</v>
      </c>
      <c r="Y26">
        <v>8</v>
      </c>
      <c r="Z26">
        <v>10.119999999999999</v>
      </c>
      <c r="AB26">
        <v>0.21149096557264443</v>
      </c>
      <c r="AC26" s="54">
        <f t="shared" si="0"/>
        <v>6.1247783629837826</v>
      </c>
      <c r="AD26">
        <v>9.0508507359958568</v>
      </c>
      <c r="AE26" s="54">
        <f t="shared" si="1"/>
        <v>0.90508507359958568</v>
      </c>
      <c r="AG26">
        <v>936</v>
      </c>
      <c r="AH26" s="54">
        <v>888.04347829999995</v>
      </c>
    </row>
    <row r="27" spans="1:34" x14ac:dyDescent="0.25">
      <c r="A27">
        <v>1</v>
      </c>
      <c r="M27" s="54"/>
      <c r="AB27" t="s">
        <v>101</v>
      </c>
      <c r="AC27" s="54" t="e">
        <f t="shared" si="0"/>
        <v>#VALUE!</v>
      </c>
      <c r="AE27" s="54">
        <f t="shared" si="1"/>
        <v>0</v>
      </c>
      <c r="AH27" s="54"/>
    </row>
    <row r="28" spans="1:34" x14ac:dyDescent="0.25">
      <c r="A28">
        <v>1</v>
      </c>
      <c r="B28">
        <v>2017</v>
      </c>
      <c r="C28">
        <v>51</v>
      </c>
      <c r="D28" t="s">
        <v>22</v>
      </c>
      <c r="E28" t="s">
        <v>74</v>
      </c>
      <c r="F28">
        <v>28.96</v>
      </c>
      <c r="G28" t="s">
        <v>217</v>
      </c>
      <c r="H28">
        <v>2</v>
      </c>
      <c r="I28">
        <v>5</v>
      </c>
      <c r="J28">
        <v>11.6724</v>
      </c>
      <c r="K28">
        <v>2017</v>
      </c>
      <c r="L28">
        <v>10</v>
      </c>
      <c r="M28" s="54">
        <f>AG28+AH28</f>
        <v>1824.0434783000001</v>
      </c>
      <c r="N28">
        <v>1</v>
      </c>
      <c r="O28">
        <v>2</v>
      </c>
      <c r="P28">
        <v>1</v>
      </c>
      <c r="Q28">
        <v>4</v>
      </c>
      <c r="R28">
        <v>4</v>
      </c>
      <c r="S28">
        <v>2</v>
      </c>
      <c r="T28" t="s">
        <v>218</v>
      </c>
      <c r="U28">
        <v>5</v>
      </c>
      <c r="V28">
        <v>67.987217440620356</v>
      </c>
      <c r="Y28">
        <v>5</v>
      </c>
      <c r="Z28">
        <v>10.119999999999999</v>
      </c>
      <c r="AB28">
        <v>0.21149096557264443</v>
      </c>
      <c r="AC28" s="54">
        <f t="shared" si="0"/>
        <v>6.1247783629837826</v>
      </c>
      <c r="AD28">
        <v>5.4477199139384442</v>
      </c>
      <c r="AE28" s="54">
        <f t="shared" si="1"/>
        <v>0.54477199139384447</v>
      </c>
      <c r="AG28">
        <v>936</v>
      </c>
      <c r="AH28" s="54">
        <v>888.04347829999995</v>
      </c>
    </row>
    <row r="29" spans="1:34" x14ac:dyDescent="0.25">
      <c r="A29">
        <v>1</v>
      </c>
      <c r="M29" s="54"/>
      <c r="AB29" t="s">
        <v>101</v>
      </c>
      <c r="AC29" s="54" t="e">
        <f t="shared" si="0"/>
        <v>#VALUE!</v>
      </c>
      <c r="AE29" s="54">
        <f t="shared" si="1"/>
        <v>0</v>
      </c>
      <c r="AH29" s="54"/>
    </row>
    <row r="30" spans="1:34" x14ac:dyDescent="0.25">
      <c r="A30">
        <v>1</v>
      </c>
      <c r="B30">
        <v>2017</v>
      </c>
      <c r="C30">
        <v>51</v>
      </c>
      <c r="D30" t="s">
        <v>22</v>
      </c>
      <c r="E30" t="s">
        <v>77</v>
      </c>
      <c r="F30">
        <v>28.96</v>
      </c>
      <c r="G30" t="s">
        <v>217</v>
      </c>
      <c r="H30">
        <v>2</v>
      </c>
      <c r="I30">
        <v>5</v>
      </c>
      <c r="J30">
        <v>11.6724</v>
      </c>
      <c r="K30">
        <v>2017</v>
      </c>
      <c r="L30">
        <v>10</v>
      </c>
      <c r="M30" s="54">
        <f>AG30+AH30</f>
        <v>1824.0434783000001</v>
      </c>
      <c r="N30">
        <v>3</v>
      </c>
      <c r="O30">
        <v>3</v>
      </c>
      <c r="P30">
        <v>1</v>
      </c>
      <c r="Q30">
        <v>4</v>
      </c>
      <c r="R30">
        <v>3</v>
      </c>
      <c r="S30">
        <v>2</v>
      </c>
      <c r="T30" t="s">
        <v>218</v>
      </c>
      <c r="U30">
        <v>2</v>
      </c>
      <c r="V30">
        <v>20</v>
      </c>
      <c r="Y30">
        <v>6</v>
      </c>
      <c r="Z30">
        <v>10.119999999999999</v>
      </c>
      <c r="AB30">
        <v>0.21149096557264443</v>
      </c>
      <c r="AC30" s="54">
        <f t="shared" si="0"/>
        <v>6.1247783629837826</v>
      </c>
      <c r="AD30">
        <v>5.28728105830763</v>
      </c>
      <c r="AE30" s="54">
        <f t="shared" si="1"/>
        <v>0.52872810583076302</v>
      </c>
      <c r="AG30">
        <v>936</v>
      </c>
      <c r="AH30" s="54">
        <v>888.04347829999995</v>
      </c>
    </row>
    <row r="31" spans="1:34" x14ac:dyDescent="0.25">
      <c r="A31">
        <v>1</v>
      </c>
      <c r="M31" s="54"/>
      <c r="AB31" t="s">
        <v>101</v>
      </c>
      <c r="AC31" s="54" t="e">
        <f t="shared" si="0"/>
        <v>#VALUE!</v>
      </c>
      <c r="AE31" s="54">
        <f t="shared" si="1"/>
        <v>0</v>
      </c>
      <c r="AH31" s="54"/>
    </row>
    <row r="32" spans="1:34" x14ac:dyDescent="0.25">
      <c r="A32">
        <v>1</v>
      </c>
      <c r="B32">
        <v>2017</v>
      </c>
      <c r="C32">
        <v>49</v>
      </c>
      <c r="D32" t="s">
        <v>23</v>
      </c>
      <c r="E32" t="s">
        <v>292</v>
      </c>
      <c r="F32">
        <v>9.48</v>
      </c>
      <c r="G32" t="s">
        <v>99</v>
      </c>
      <c r="H32">
        <v>1</v>
      </c>
      <c r="I32">
        <v>19</v>
      </c>
      <c r="J32">
        <v>26.298399999999997</v>
      </c>
      <c r="K32">
        <v>2017</v>
      </c>
      <c r="L32">
        <v>10</v>
      </c>
      <c r="M32" s="54">
        <f>AG32+AH32</f>
        <v>1589.3913043</v>
      </c>
      <c r="N32">
        <v>1</v>
      </c>
      <c r="O32">
        <v>1</v>
      </c>
      <c r="P32">
        <v>1</v>
      </c>
      <c r="Q32">
        <v>3</v>
      </c>
      <c r="R32">
        <v>5</v>
      </c>
      <c r="S32">
        <v>1</v>
      </c>
      <c r="T32" t="s">
        <v>218</v>
      </c>
      <c r="U32">
        <v>8</v>
      </c>
      <c r="V32">
        <v>68.611104624820655</v>
      </c>
      <c r="X32">
        <v>68.611104624820655</v>
      </c>
      <c r="Y32">
        <v>8</v>
      </c>
      <c r="Z32">
        <v>32.89</v>
      </c>
      <c r="AB32">
        <v>0.21760323159989725</v>
      </c>
      <c r="AC32" s="54">
        <f t="shared" si="0"/>
        <v>2.0628786355670261</v>
      </c>
      <c r="AD32">
        <v>10.289613008060506</v>
      </c>
      <c r="AE32" s="54">
        <f t="shared" si="1"/>
        <v>1.0289613008060505</v>
      </c>
      <c r="AG32">
        <v>722</v>
      </c>
      <c r="AH32" s="54">
        <v>867.3913043</v>
      </c>
    </row>
    <row r="33" spans="1:34" x14ac:dyDescent="0.25">
      <c r="A33">
        <v>1</v>
      </c>
      <c r="M33" s="54"/>
      <c r="AB33" t="s">
        <v>101</v>
      </c>
      <c r="AC33" s="54" t="e">
        <f t="shared" si="0"/>
        <v>#VALUE!</v>
      </c>
      <c r="AE33" s="54">
        <f t="shared" si="1"/>
        <v>0</v>
      </c>
      <c r="AH33" s="54"/>
    </row>
    <row r="34" spans="1:34" x14ac:dyDescent="0.25">
      <c r="A34">
        <v>1</v>
      </c>
      <c r="B34">
        <v>2017</v>
      </c>
      <c r="C34">
        <v>49</v>
      </c>
      <c r="D34" t="s">
        <v>23</v>
      </c>
      <c r="E34" t="s">
        <v>74</v>
      </c>
      <c r="F34">
        <v>9.48</v>
      </c>
      <c r="G34" t="s">
        <v>99</v>
      </c>
      <c r="H34">
        <v>1</v>
      </c>
      <c r="I34">
        <v>19</v>
      </c>
      <c r="J34">
        <v>26.298399999999997</v>
      </c>
      <c r="K34">
        <v>2017</v>
      </c>
      <c r="L34">
        <v>10</v>
      </c>
      <c r="M34" s="54">
        <f>AG34+AH34</f>
        <v>1589.3913043</v>
      </c>
      <c r="N34">
        <v>1</v>
      </c>
      <c r="O34">
        <v>2</v>
      </c>
      <c r="P34">
        <v>1</v>
      </c>
      <c r="Q34">
        <v>3</v>
      </c>
      <c r="R34">
        <v>4</v>
      </c>
      <c r="S34">
        <v>2</v>
      </c>
      <c r="T34" t="s">
        <v>218</v>
      </c>
      <c r="U34">
        <v>5</v>
      </c>
      <c r="V34">
        <v>54.888883699856528</v>
      </c>
      <c r="Y34">
        <v>5</v>
      </c>
      <c r="Z34">
        <v>32.89</v>
      </c>
      <c r="AB34">
        <v>0.21760323159989725</v>
      </c>
      <c r="AC34" s="54">
        <f t="shared" si="0"/>
        <v>2.0628786355670261</v>
      </c>
      <c r="AD34">
        <v>4.8409839569559159</v>
      </c>
      <c r="AE34" s="54">
        <f t="shared" si="1"/>
        <v>0.4840983956955916</v>
      </c>
      <c r="AG34">
        <v>722</v>
      </c>
      <c r="AH34" s="54">
        <v>867.3913043</v>
      </c>
    </row>
    <row r="35" spans="1:34" x14ac:dyDescent="0.25">
      <c r="A35">
        <v>1</v>
      </c>
      <c r="M35" s="54"/>
      <c r="AB35" t="s">
        <v>101</v>
      </c>
      <c r="AC35" s="54" t="e">
        <f t="shared" si="0"/>
        <v>#VALUE!</v>
      </c>
      <c r="AE35" s="54">
        <f t="shared" si="1"/>
        <v>0</v>
      </c>
      <c r="AH35" s="54"/>
    </row>
    <row r="36" spans="1:34" x14ac:dyDescent="0.25">
      <c r="A36">
        <v>1</v>
      </c>
      <c r="B36">
        <v>2017</v>
      </c>
      <c r="C36">
        <v>49</v>
      </c>
      <c r="D36" t="s">
        <v>23</v>
      </c>
      <c r="E36" t="s">
        <v>77</v>
      </c>
      <c r="F36">
        <v>9.48</v>
      </c>
      <c r="G36" t="s">
        <v>99</v>
      </c>
      <c r="H36">
        <v>1</v>
      </c>
      <c r="I36">
        <v>19</v>
      </c>
      <c r="J36">
        <v>26.298399999999997</v>
      </c>
      <c r="K36">
        <v>2017</v>
      </c>
      <c r="L36">
        <v>10</v>
      </c>
      <c r="M36" s="54">
        <f>AG36+AH36</f>
        <v>1589.3913043</v>
      </c>
      <c r="N36">
        <v>3</v>
      </c>
      <c r="O36">
        <v>3</v>
      </c>
      <c r="P36">
        <v>1</v>
      </c>
      <c r="Q36">
        <v>3</v>
      </c>
      <c r="R36">
        <v>3</v>
      </c>
      <c r="S36">
        <v>2</v>
      </c>
      <c r="T36" t="s">
        <v>218</v>
      </c>
      <c r="U36">
        <v>2</v>
      </c>
      <c r="V36">
        <v>20</v>
      </c>
      <c r="Y36">
        <v>6</v>
      </c>
      <c r="Z36">
        <v>32.89</v>
      </c>
      <c r="AB36">
        <v>0.21760323159989725</v>
      </c>
      <c r="AC36" s="54">
        <f t="shared" si="0"/>
        <v>2.0628786355670261</v>
      </c>
      <c r="AD36">
        <v>4.2469178627347075</v>
      </c>
      <c r="AE36" s="54">
        <f t="shared" si="1"/>
        <v>0.42469178627347076</v>
      </c>
      <c r="AG36">
        <v>722</v>
      </c>
      <c r="AH36" s="54">
        <v>867.3913043</v>
      </c>
    </row>
    <row r="37" spans="1:34" x14ac:dyDescent="0.25">
      <c r="A37">
        <v>1</v>
      </c>
      <c r="M37" s="54"/>
      <c r="AB37" t="s">
        <v>101</v>
      </c>
      <c r="AC37" s="54" t="e">
        <f t="shared" si="0"/>
        <v>#VALUE!</v>
      </c>
      <c r="AE37" s="54">
        <f t="shared" si="1"/>
        <v>0</v>
      </c>
      <c r="AH37" s="54"/>
    </row>
    <row r="38" spans="1:34" x14ac:dyDescent="0.25">
      <c r="A38">
        <v>1</v>
      </c>
      <c r="B38">
        <v>2017</v>
      </c>
      <c r="C38">
        <v>37</v>
      </c>
      <c r="D38" t="s">
        <v>88</v>
      </c>
      <c r="E38" t="s">
        <v>292</v>
      </c>
      <c r="F38">
        <v>17.37</v>
      </c>
      <c r="G38" t="s">
        <v>217</v>
      </c>
      <c r="H38">
        <v>3</v>
      </c>
      <c r="I38">
        <v>5</v>
      </c>
      <c r="J38">
        <v>16.535899999999998</v>
      </c>
      <c r="K38">
        <v>2017</v>
      </c>
      <c r="L38">
        <v>10</v>
      </c>
      <c r="M38" s="54">
        <f>AG38+AH38</f>
        <v>1895</v>
      </c>
      <c r="N38">
        <v>1</v>
      </c>
      <c r="O38">
        <v>1</v>
      </c>
      <c r="P38">
        <v>1</v>
      </c>
      <c r="Q38">
        <v>4</v>
      </c>
      <c r="R38">
        <v>5</v>
      </c>
      <c r="S38">
        <v>1</v>
      </c>
      <c r="T38" t="s">
        <v>218</v>
      </c>
      <c r="U38">
        <v>8</v>
      </c>
      <c r="V38">
        <v>87.931611261293796</v>
      </c>
      <c r="X38">
        <v>87.931611261293796</v>
      </c>
      <c r="Y38">
        <v>8</v>
      </c>
      <c r="Z38">
        <v>7.13</v>
      </c>
      <c r="AB38">
        <v>0.20982761949243967</v>
      </c>
      <c r="AC38" s="54">
        <f t="shared" si="0"/>
        <v>3.6447057505836771</v>
      </c>
      <c r="AD38">
        <v>6.3309621508054796</v>
      </c>
      <c r="AE38" s="54">
        <f t="shared" si="1"/>
        <v>0.63309621508054792</v>
      </c>
      <c r="AG38">
        <v>945</v>
      </c>
      <c r="AH38" s="54">
        <v>950</v>
      </c>
    </row>
    <row r="39" spans="1:34" x14ac:dyDescent="0.25">
      <c r="A39">
        <v>1</v>
      </c>
      <c r="M39" s="54"/>
      <c r="AB39" t="s">
        <v>101</v>
      </c>
      <c r="AC39" s="54" t="e">
        <f t="shared" si="0"/>
        <v>#VALUE!</v>
      </c>
      <c r="AE39" s="54">
        <f t="shared" si="1"/>
        <v>0</v>
      </c>
      <c r="AH39" s="54"/>
    </row>
    <row r="40" spans="1:34" x14ac:dyDescent="0.25">
      <c r="A40">
        <v>1</v>
      </c>
      <c r="B40">
        <v>2017</v>
      </c>
      <c r="C40">
        <v>37</v>
      </c>
      <c r="D40" t="s">
        <v>88</v>
      </c>
      <c r="E40" t="s">
        <v>74</v>
      </c>
      <c r="F40">
        <v>17.37</v>
      </c>
      <c r="G40" t="s">
        <v>217</v>
      </c>
      <c r="H40">
        <v>3</v>
      </c>
      <c r="I40">
        <v>5</v>
      </c>
      <c r="J40">
        <v>16.535899999999998</v>
      </c>
      <c r="K40">
        <v>2017</v>
      </c>
      <c r="L40">
        <v>10</v>
      </c>
      <c r="M40" s="54">
        <f>AG40+AH40</f>
        <v>1895</v>
      </c>
      <c r="N40">
        <v>1</v>
      </c>
      <c r="O40">
        <v>2</v>
      </c>
      <c r="P40">
        <v>1</v>
      </c>
      <c r="Q40">
        <v>4</v>
      </c>
      <c r="R40">
        <v>4</v>
      </c>
      <c r="S40">
        <v>2</v>
      </c>
      <c r="T40" t="s">
        <v>218</v>
      </c>
      <c r="U40">
        <v>5</v>
      </c>
      <c r="V40">
        <v>70.345289009035042</v>
      </c>
      <c r="Y40">
        <v>5</v>
      </c>
      <c r="Z40">
        <v>7.13</v>
      </c>
      <c r="AB40">
        <v>0.20982761949243967</v>
      </c>
      <c r="AC40" s="54">
        <f t="shared" si="0"/>
        <v>3.6447057505836771</v>
      </c>
      <c r="AD40">
        <v>3.5037324487988308</v>
      </c>
      <c r="AE40" s="54">
        <f t="shared" si="1"/>
        <v>0.35037324487988308</v>
      </c>
      <c r="AG40">
        <v>945</v>
      </c>
      <c r="AH40" s="54">
        <v>950</v>
      </c>
    </row>
    <row r="41" spans="1:34" x14ac:dyDescent="0.25">
      <c r="A41">
        <v>1</v>
      </c>
      <c r="M41" s="54"/>
      <c r="AB41" t="s">
        <v>101</v>
      </c>
      <c r="AC41" s="54" t="e">
        <f t="shared" si="0"/>
        <v>#VALUE!</v>
      </c>
      <c r="AE41" s="54">
        <f t="shared" si="1"/>
        <v>0</v>
      </c>
      <c r="AH41" s="54"/>
    </row>
    <row r="42" spans="1:34" x14ac:dyDescent="0.25">
      <c r="A42">
        <v>1</v>
      </c>
      <c r="B42">
        <v>2017</v>
      </c>
      <c r="C42">
        <v>37</v>
      </c>
      <c r="D42" t="s">
        <v>88</v>
      </c>
      <c r="E42" t="s">
        <v>77</v>
      </c>
      <c r="F42">
        <v>17.37</v>
      </c>
      <c r="G42" t="s">
        <v>217</v>
      </c>
      <c r="H42">
        <v>3</v>
      </c>
      <c r="I42">
        <v>5</v>
      </c>
      <c r="J42">
        <v>16.535899999999998</v>
      </c>
      <c r="K42">
        <v>2017</v>
      </c>
      <c r="L42">
        <v>10</v>
      </c>
      <c r="M42" s="54">
        <f>AG42+AH42</f>
        <v>1895</v>
      </c>
      <c r="N42">
        <v>3</v>
      </c>
      <c r="O42">
        <v>3</v>
      </c>
      <c r="P42">
        <v>1</v>
      </c>
      <c r="Q42">
        <v>4</v>
      </c>
      <c r="R42">
        <v>3</v>
      </c>
      <c r="S42">
        <v>2</v>
      </c>
      <c r="T42" t="s">
        <v>218</v>
      </c>
      <c r="U42">
        <v>2</v>
      </c>
      <c r="V42">
        <v>20</v>
      </c>
      <c r="Y42">
        <v>6</v>
      </c>
      <c r="Z42">
        <v>7.13</v>
      </c>
      <c r="AB42">
        <v>0.20982761949243967</v>
      </c>
      <c r="AC42" s="54">
        <f t="shared" si="0"/>
        <v>3.6447057505836771</v>
      </c>
      <c r="AD42">
        <v>3.3919263503072505</v>
      </c>
      <c r="AE42" s="54">
        <f t="shared" si="1"/>
        <v>0.33919263503072505</v>
      </c>
      <c r="AG42">
        <v>945</v>
      </c>
      <c r="AH42" s="54">
        <v>950</v>
      </c>
    </row>
    <row r="43" spans="1:34" x14ac:dyDescent="0.25">
      <c r="A43">
        <v>1</v>
      </c>
      <c r="M43" s="54"/>
      <c r="AB43" t="s">
        <v>101</v>
      </c>
      <c r="AC43" s="54" t="e">
        <f t="shared" si="0"/>
        <v>#VALUE!</v>
      </c>
      <c r="AE43" s="54">
        <f t="shared" si="1"/>
        <v>0</v>
      </c>
      <c r="AH43" s="54"/>
    </row>
    <row r="44" spans="1:34" x14ac:dyDescent="0.25">
      <c r="A44">
        <v>1</v>
      </c>
      <c r="B44">
        <v>2017</v>
      </c>
      <c r="C44">
        <v>75</v>
      </c>
      <c r="D44" t="s">
        <v>89</v>
      </c>
      <c r="E44" t="s">
        <v>292</v>
      </c>
      <c r="F44">
        <v>20.85</v>
      </c>
      <c r="G44" t="s">
        <v>217</v>
      </c>
      <c r="H44">
        <v>2</v>
      </c>
      <c r="I44">
        <v>6</v>
      </c>
      <c r="J44">
        <v>23.479699999999998</v>
      </c>
      <c r="K44">
        <v>2017</v>
      </c>
      <c r="L44">
        <v>10</v>
      </c>
      <c r="M44" s="54">
        <f>AG44+AH44</f>
        <v>1950.6521739</v>
      </c>
      <c r="N44">
        <v>1</v>
      </c>
      <c r="O44">
        <v>1</v>
      </c>
      <c r="P44">
        <v>1</v>
      </c>
      <c r="Q44">
        <v>4</v>
      </c>
      <c r="R44">
        <v>5</v>
      </c>
      <c r="S44">
        <v>1</v>
      </c>
      <c r="T44" t="s">
        <v>218</v>
      </c>
      <c r="U44">
        <v>8</v>
      </c>
      <c r="V44">
        <v>95.842827130197392</v>
      </c>
      <c r="X44">
        <v>95.842827130197392</v>
      </c>
      <c r="Y44">
        <v>8</v>
      </c>
      <c r="Z44">
        <v>7.59</v>
      </c>
      <c r="AB44">
        <v>0.20857477891740414</v>
      </c>
      <c r="AC44" s="54">
        <f t="shared" si="0"/>
        <v>4.3487841404278766</v>
      </c>
      <c r="AD44">
        <v>8.1856941025800776</v>
      </c>
      <c r="AE44" s="54">
        <f t="shared" si="1"/>
        <v>0.81856941025800778</v>
      </c>
      <c r="AG44">
        <v>980</v>
      </c>
      <c r="AH44" s="54">
        <v>970.65217389999998</v>
      </c>
    </row>
    <row r="45" spans="1:34" x14ac:dyDescent="0.25">
      <c r="A45">
        <v>1</v>
      </c>
      <c r="M45" s="54"/>
      <c r="AB45" t="s">
        <v>101</v>
      </c>
      <c r="AC45" s="54" t="e">
        <f t="shared" si="0"/>
        <v>#VALUE!</v>
      </c>
      <c r="AE45" s="54">
        <f t="shared" si="1"/>
        <v>0</v>
      </c>
      <c r="AH45" s="54"/>
    </row>
    <row r="46" spans="1:34" x14ac:dyDescent="0.25">
      <c r="A46">
        <v>1</v>
      </c>
      <c r="B46">
        <v>2017</v>
      </c>
      <c r="C46">
        <v>75</v>
      </c>
      <c r="D46" t="s">
        <v>89</v>
      </c>
      <c r="E46" t="s">
        <v>74</v>
      </c>
      <c r="F46">
        <v>20.85</v>
      </c>
      <c r="G46" t="s">
        <v>217</v>
      </c>
      <c r="H46">
        <v>2</v>
      </c>
      <c r="I46">
        <v>6</v>
      </c>
      <c r="J46">
        <v>23.479699999999998</v>
      </c>
      <c r="K46">
        <v>2017</v>
      </c>
      <c r="L46">
        <v>10</v>
      </c>
      <c r="M46" s="54">
        <f>AG46+AH46</f>
        <v>1950.6521739</v>
      </c>
      <c r="N46">
        <v>1</v>
      </c>
      <c r="O46">
        <v>2</v>
      </c>
      <c r="P46">
        <v>1</v>
      </c>
      <c r="Q46">
        <v>4</v>
      </c>
      <c r="R46">
        <v>4</v>
      </c>
      <c r="S46">
        <v>2</v>
      </c>
      <c r="T46" t="s">
        <v>218</v>
      </c>
      <c r="U46">
        <v>5</v>
      </c>
      <c r="V46">
        <v>76.674261704157914</v>
      </c>
      <c r="Y46">
        <v>5</v>
      </c>
      <c r="Z46">
        <v>7.59</v>
      </c>
      <c r="AB46">
        <v>0.20857477891740414</v>
      </c>
      <c r="AC46" s="54">
        <f t="shared" si="0"/>
        <v>4.3487841404278766</v>
      </c>
      <c r="AD46">
        <v>4.5513303312907585</v>
      </c>
      <c r="AE46" s="54">
        <f t="shared" si="1"/>
        <v>0.45513303312907583</v>
      </c>
      <c r="AG46">
        <v>980</v>
      </c>
      <c r="AH46" s="54">
        <v>970.65217389999998</v>
      </c>
    </row>
    <row r="47" spans="1:34" x14ac:dyDescent="0.25">
      <c r="A47">
        <v>1</v>
      </c>
      <c r="M47" s="54"/>
      <c r="AB47" t="s">
        <v>101</v>
      </c>
      <c r="AC47" s="54" t="e">
        <f t="shared" si="0"/>
        <v>#VALUE!</v>
      </c>
      <c r="AE47" s="54">
        <f t="shared" si="1"/>
        <v>0</v>
      </c>
      <c r="AH47" s="54"/>
    </row>
    <row r="48" spans="1:34" x14ac:dyDescent="0.25">
      <c r="A48">
        <v>1</v>
      </c>
      <c r="B48">
        <v>2017</v>
      </c>
      <c r="C48">
        <v>75</v>
      </c>
      <c r="D48" t="s">
        <v>89</v>
      </c>
      <c r="E48" t="s">
        <v>77</v>
      </c>
      <c r="F48">
        <v>20.85</v>
      </c>
      <c r="G48" t="s">
        <v>217</v>
      </c>
      <c r="H48">
        <v>2</v>
      </c>
      <c r="I48">
        <v>6</v>
      </c>
      <c r="J48">
        <v>23.479699999999998</v>
      </c>
      <c r="K48">
        <v>2017</v>
      </c>
      <c r="L48">
        <v>10</v>
      </c>
      <c r="M48" s="54">
        <f>AG48+AH48</f>
        <v>1950.6521739</v>
      </c>
      <c r="N48">
        <v>3</v>
      </c>
      <c r="O48">
        <v>3</v>
      </c>
      <c r="P48">
        <v>1</v>
      </c>
      <c r="Q48">
        <v>4</v>
      </c>
      <c r="R48">
        <v>3</v>
      </c>
      <c r="S48">
        <v>2</v>
      </c>
      <c r="T48" t="s">
        <v>218</v>
      </c>
      <c r="U48">
        <v>2</v>
      </c>
      <c r="V48">
        <v>20</v>
      </c>
      <c r="Y48">
        <v>6</v>
      </c>
      <c r="Z48">
        <v>7.59</v>
      </c>
      <c r="AB48">
        <v>0.20857477891740414</v>
      </c>
      <c r="AC48" s="54">
        <f t="shared" si="0"/>
        <v>4.3487841404278766</v>
      </c>
      <c r="AD48">
        <v>4.4348038778108929</v>
      </c>
      <c r="AE48" s="54">
        <f t="shared" si="1"/>
        <v>0.44348038778108928</v>
      </c>
      <c r="AG48">
        <v>980</v>
      </c>
      <c r="AH48" s="54">
        <v>970.65217389999998</v>
      </c>
    </row>
    <row r="49" spans="1:34" x14ac:dyDescent="0.25">
      <c r="A49">
        <v>1</v>
      </c>
      <c r="M49" s="54"/>
      <c r="AB49" t="s">
        <v>101</v>
      </c>
      <c r="AC49" s="54" t="e">
        <f t="shared" si="0"/>
        <v>#VALUE!</v>
      </c>
      <c r="AE49" s="54">
        <f t="shared" si="1"/>
        <v>0</v>
      </c>
      <c r="AH49" s="54"/>
    </row>
    <row r="50" spans="1:34" x14ac:dyDescent="0.25">
      <c r="A50">
        <v>1</v>
      </c>
      <c r="B50">
        <v>2017</v>
      </c>
      <c r="C50">
        <v>3</v>
      </c>
      <c r="D50" t="s">
        <v>26</v>
      </c>
      <c r="E50" t="s">
        <v>292</v>
      </c>
      <c r="F50">
        <v>18.02</v>
      </c>
      <c r="G50" t="s">
        <v>217</v>
      </c>
      <c r="H50">
        <v>2</v>
      </c>
      <c r="I50">
        <v>7</v>
      </c>
      <c r="J50">
        <v>21.207699999999999</v>
      </c>
      <c r="K50">
        <v>2017</v>
      </c>
      <c r="L50">
        <v>10</v>
      </c>
      <c r="M50" s="54">
        <f>AG50+AH50</f>
        <v>1854.3478261</v>
      </c>
      <c r="N50">
        <v>1</v>
      </c>
      <c r="O50">
        <v>1</v>
      </c>
      <c r="P50">
        <v>1</v>
      </c>
      <c r="Q50">
        <v>3</v>
      </c>
      <c r="R50">
        <v>5</v>
      </c>
      <c r="S50">
        <v>1</v>
      </c>
      <c r="T50" t="s">
        <v>218</v>
      </c>
      <c r="U50">
        <v>8</v>
      </c>
      <c r="V50">
        <v>80.575610348656213</v>
      </c>
      <c r="X50">
        <v>80.575610348656213</v>
      </c>
      <c r="Y50">
        <v>8</v>
      </c>
      <c r="Z50">
        <v>2.99</v>
      </c>
      <c r="AB50">
        <v>0.21077118674558701</v>
      </c>
      <c r="AC50" s="54">
        <f t="shared" si="0"/>
        <v>3.7980967851554777</v>
      </c>
      <c r="AD50">
        <v>7.7158188850145102</v>
      </c>
      <c r="AE50" s="54">
        <f t="shared" si="1"/>
        <v>0.77158188850145104</v>
      </c>
      <c r="AG50">
        <v>925</v>
      </c>
      <c r="AH50" s="54">
        <v>929.34782610000002</v>
      </c>
    </row>
    <row r="51" spans="1:34" x14ac:dyDescent="0.25">
      <c r="A51">
        <v>1</v>
      </c>
      <c r="M51" s="54"/>
      <c r="AB51" t="s">
        <v>101</v>
      </c>
      <c r="AC51" s="54" t="e">
        <f t="shared" si="0"/>
        <v>#VALUE!</v>
      </c>
      <c r="AE51" s="54">
        <f t="shared" si="1"/>
        <v>0</v>
      </c>
      <c r="AH51" s="54"/>
    </row>
    <row r="52" spans="1:34" x14ac:dyDescent="0.25">
      <c r="A52">
        <v>1</v>
      </c>
      <c r="B52">
        <v>2017</v>
      </c>
      <c r="C52">
        <v>3</v>
      </c>
      <c r="D52" t="s">
        <v>26</v>
      </c>
      <c r="E52" t="s">
        <v>74</v>
      </c>
      <c r="F52">
        <v>18.02</v>
      </c>
      <c r="G52" t="s">
        <v>217</v>
      </c>
      <c r="H52">
        <v>2</v>
      </c>
      <c r="I52">
        <v>7</v>
      </c>
      <c r="J52">
        <v>21.207699999999999</v>
      </c>
      <c r="K52">
        <v>2017</v>
      </c>
      <c r="L52">
        <v>10</v>
      </c>
      <c r="M52" s="54">
        <f>AG52+AH52</f>
        <v>1854.3478261</v>
      </c>
      <c r="N52">
        <v>1</v>
      </c>
      <c r="O52">
        <v>2</v>
      </c>
      <c r="P52">
        <v>1</v>
      </c>
      <c r="Q52">
        <v>3</v>
      </c>
      <c r="R52">
        <v>4</v>
      </c>
      <c r="S52">
        <v>2</v>
      </c>
      <c r="T52" t="s">
        <v>218</v>
      </c>
      <c r="U52">
        <v>5</v>
      </c>
      <c r="V52">
        <v>64.46048827892497</v>
      </c>
      <c r="Y52">
        <v>5</v>
      </c>
      <c r="Z52">
        <v>2.99</v>
      </c>
      <c r="AB52">
        <v>0.21077118674558701</v>
      </c>
      <c r="AC52" s="54">
        <f t="shared" si="0"/>
        <v>3.7980967851554777</v>
      </c>
      <c r="AD52">
        <v>4.1714262631685344</v>
      </c>
      <c r="AE52" s="54">
        <f t="shared" si="1"/>
        <v>0.41714262631685345</v>
      </c>
      <c r="AG52">
        <v>925</v>
      </c>
      <c r="AH52" s="54">
        <v>929.34782610000002</v>
      </c>
    </row>
    <row r="53" spans="1:34" x14ac:dyDescent="0.25">
      <c r="A53">
        <v>1</v>
      </c>
      <c r="M53" s="54"/>
      <c r="AB53" t="s">
        <v>101</v>
      </c>
      <c r="AC53" s="54" t="e">
        <f t="shared" si="0"/>
        <v>#VALUE!</v>
      </c>
      <c r="AE53" s="54">
        <f t="shared" si="1"/>
        <v>0</v>
      </c>
      <c r="AH53" s="54"/>
    </row>
    <row r="54" spans="1:34" x14ac:dyDescent="0.25">
      <c r="A54">
        <v>1</v>
      </c>
      <c r="B54">
        <v>2017</v>
      </c>
      <c r="C54">
        <v>3</v>
      </c>
      <c r="D54" t="s">
        <v>26</v>
      </c>
      <c r="E54" t="s">
        <v>77</v>
      </c>
      <c r="F54">
        <v>18.02</v>
      </c>
      <c r="G54" t="s">
        <v>217</v>
      </c>
      <c r="H54">
        <v>2</v>
      </c>
      <c r="I54">
        <v>7</v>
      </c>
      <c r="J54">
        <v>21.207699999999999</v>
      </c>
      <c r="K54">
        <v>2017</v>
      </c>
      <c r="L54">
        <v>10</v>
      </c>
      <c r="M54" s="54">
        <f>AG54+AH54</f>
        <v>1854.3478261</v>
      </c>
      <c r="N54">
        <v>3</v>
      </c>
      <c r="O54">
        <v>3</v>
      </c>
      <c r="P54">
        <v>1</v>
      </c>
      <c r="Q54">
        <v>3</v>
      </c>
      <c r="R54">
        <v>3</v>
      </c>
      <c r="S54">
        <v>2</v>
      </c>
      <c r="T54" t="s">
        <v>218</v>
      </c>
      <c r="U54">
        <v>2</v>
      </c>
      <c r="V54">
        <v>20</v>
      </c>
      <c r="Y54">
        <v>6</v>
      </c>
      <c r="Z54">
        <v>2.99</v>
      </c>
      <c r="AB54">
        <v>0.21077118674558701</v>
      </c>
      <c r="AC54" s="54">
        <f t="shared" si="0"/>
        <v>3.7980967851554777</v>
      </c>
      <c r="AD54">
        <v>4.224392159915018</v>
      </c>
      <c r="AE54" s="54">
        <f t="shared" si="1"/>
        <v>0.4224392159915018</v>
      </c>
      <c r="AG54">
        <v>925</v>
      </c>
      <c r="AH54" s="54">
        <v>929.34782610000002</v>
      </c>
    </row>
    <row r="55" spans="1:34" x14ac:dyDescent="0.25">
      <c r="A55">
        <v>1</v>
      </c>
      <c r="M55" s="54"/>
      <c r="AB55" t="s">
        <v>101</v>
      </c>
      <c r="AC55" s="54" t="e">
        <f t="shared" si="0"/>
        <v>#VALUE!</v>
      </c>
      <c r="AE55" s="54">
        <f t="shared" si="1"/>
        <v>0</v>
      </c>
      <c r="AH55" s="54"/>
    </row>
    <row r="56" spans="1:34" x14ac:dyDescent="0.25">
      <c r="A56">
        <v>1</v>
      </c>
      <c r="B56">
        <v>2017</v>
      </c>
      <c r="C56">
        <v>67</v>
      </c>
      <c r="D56" t="s">
        <v>27</v>
      </c>
      <c r="E56" t="s">
        <v>292</v>
      </c>
      <c r="F56">
        <v>25.25</v>
      </c>
      <c r="G56" t="s">
        <v>217</v>
      </c>
      <c r="H56">
        <v>2</v>
      </c>
      <c r="I56">
        <v>5</v>
      </c>
      <c r="J56">
        <v>10.784899999999999</v>
      </c>
      <c r="K56">
        <v>2017</v>
      </c>
      <c r="L56">
        <v>10</v>
      </c>
      <c r="M56" s="54">
        <f>AG56+AH56</f>
        <v>1721.4347825999998</v>
      </c>
      <c r="N56">
        <v>1</v>
      </c>
      <c r="O56">
        <v>1</v>
      </c>
      <c r="P56">
        <v>1</v>
      </c>
      <c r="Q56">
        <v>4</v>
      </c>
      <c r="R56">
        <v>5</v>
      </c>
      <c r="S56">
        <v>1</v>
      </c>
      <c r="T56" t="s">
        <v>218</v>
      </c>
      <c r="U56">
        <v>8</v>
      </c>
      <c r="V56">
        <v>88.858237675602041</v>
      </c>
      <c r="X56">
        <v>88.858237675602041</v>
      </c>
      <c r="Y56">
        <v>8</v>
      </c>
      <c r="Z56">
        <v>20.93</v>
      </c>
      <c r="AB56">
        <v>0.2140396540028042</v>
      </c>
      <c r="AC56" s="54">
        <f t="shared" si="0"/>
        <v>5.4045012635708058</v>
      </c>
      <c r="AD56">
        <v>8.3833013646810191</v>
      </c>
      <c r="AE56" s="54">
        <f t="shared" si="1"/>
        <v>0.83833013646810195</v>
      </c>
      <c r="AG56">
        <v>916</v>
      </c>
      <c r="AH56" s="54">
        <v>805.43478259999995</v>
      </c>
    </row>
    <row r="57" spans="1:34" x14ac:dyDescent="0.25">
      <c r="A57">
        <v>1</v>
      </c>
      <c r="M57" s="54"/>
      <c r="AB57" t="s">
        <v>101</v>
      </c>
      <c r="AC57" s="54" t="e">
        <f t="shared" si="0"/>
        <v>#VALUE!</v>
      </c>
      <c r="AE57" s="54">
        <f t="shared" si="1"/>
        <v>0</v>
      </c>
      <c r="AH57" s="54"/>
    </row>
    <row r="58" spans="1:34" x14ac:dyDescent="0.25">
      <c r="A58">
        <v>1</v>
      </c>
      <c r="B58">
        <v>2017</v>
      </c>
      <c r="C58">
        <v>67</v>
      </c>
      <c r="D58" t="s">
        <v>27</v>
      </c>
      <c r="E58" t="s">
        <v>74</v>
      </c>
      <c r="F58">
        <v>25.25</v>
      </c>
      <c r="G58" t="s">
        <v>217</v>
      </c>
      <c r="H58">
        <v>2</v>
      </c>
      <c r="I58">
        <v>5</v>
      </c>
      <c r="J58">
        <v>10.784899999999999</v>
      </c>
      <c r="K58">
        <v>2017</v>
      </c>
      <c r="L58">
        <v>10</v>
      </c>
      <c r="M58" s="54">
        <f>AG58+AH58</f>
        <v>1721.4347825999998</v>
      </c>
      <c r="N58">
        <v>1</v>
      </c>
      <c r="O58">
        <v>2</v>
      </c>
      <c r="P58">
        <v>1</v>
      </c>
      <c r="Q58">
        <v>4</v>
      </c>
      <c r="R58">
        <v>4</v>
      </c>
      <c r="S58">
        <v>2</v>
      </c>
      <c r="T58" t="s">
        <v>218</v>
      </c>
      <c r="U58">
        <v>5</v>
      </c>
      <c r="V58">
        <v>71.086590140481633</v>
      </c>
      <c r="Y58">
        <v>5</v>
      </c>
      <c r="Z58">
        <v>20.93</v>
      </c>
      <c r="AB58">
        <v>0.2140396540028042</v>
      </c>
      <c r="AC58" s="54">
        <f t="shared" si="0"/>
        <v>5.4045012635708058</v>
      </c>
      <c r="AD58">
        <v>4.8928932385040813</v>
      </c>
      <c r="AE58" s="54">
        <f t="shared" si="1"/>
        <v>0.48928932385040813</v>
      </c>
      <c r="AG58">
        <v>916</v>
      </c>
      <c r="AH58" s="54">
        <v>805.43478259999995</v>
      </c>
    </row>
    <row r="59" spans="1:34" x14ac:dyDescent="0.25">
      <c r="A59">
        <v>1</v>
      </c>
      <c r="M59" s="54"/>
      <c r="AB59" t="s">
        <v>101</v>
      </c>
      <c r="AC59" s="54" t="e">
        <f t="shared" si="0"/>
        <v>#VALUE!</v>
      </c>
      <c r="AE59" s="54">
        <f t="shared" si="1"/>
        <v>0</v>
      </c>
      <c r="AH59" s="54"/>
    </row>
    <row r="60" spans="1:34" x14ac:dyDescent="0.25">
      <c r="A60">
        <v>1</v>
      </c>
      <c r="B60">
        <v>2017</v>
      </c>
      <c r="C60">
        <v>67</v>
      </c>
      <c r="D60" t="s">
        <v>27</v>
      </c>
      <c r="E60" t="s">
        <v>77</v>
      </c>
      <c r="F60">
        <v>25.25</v>
      </c>
      <c r="G60" t="s">
        <v>217</v>
      </c>
      <c r="H60">
        <v>2</v>
      </c>
      <c r="I60">
        <v>5</v>
      </c>
      <c r="J60">
        <v>10.784899999999999</v>
      </c>
      <c r="K60">
        <v>2017</v>
      </c>
      <c r="L60">
        <v>10</v>
      </c>
      <c r="M60" s="54">
        <f>AG60+AH60</f>
        <v>1721.4347825999998</v>
      </c>
      <c r="N60">
        <v>3</v>
      </c>
      <c r="O60">
        <v>3</v>
      </c>
      <c r="P60">
        <v>1</v>
      </c>
      <c r="Q60">
        <v>4</v>
      </c>
      <c r="R60">
        <v>3</v>
      </c>
      <c r="S60">
        <v>2</v>
      </c>
      <c r="T60" t="s">
        <v>218</v>
      </c>
      <c r="U60">
        <v>2</v>
      </c>
      <c r="V60">
        <v>60</v>
      </c>
      <c r="Y60">
        <v>6</v>
      </c>
      <c r="Z60">
        <v>20.93</v>
      </c>
      <c r="AB60">
        <v>0.2140396540028042</v>
      </c>
      <c r="AC60" s="54">
        <f t="shared" si="0"/>
        <v>5.4045012635708058</v>
      </c>
      <c r="AD60">
        <v>4.7897581796512352</v>
      </c>
      <c r="AE60" s="54">
        <f t="shared" si="1"/>
        <v>0.47897581796512351</v>
      </c>
      <c r="AG60">
        <v>916</v>
      </c>
      <c r="AH60" s="54">
        <v>805.43478259999995</v>
      </c>
    </row>
    <row r="61" spans="1:34" x14ac:dyDescent="0.25">
      <c r="A61">
        <v>1</v>
      </c>
      <c r="M61" s="54"/>
      <c r="AB61" t="s">
        <v>101</v>
      </c>
      <c r="AC61" s="54" t="e">
        <f t="shared" si="0"/>
        <v>#VALUE!</v>
      </c>
      <c r="AE61" s="54">
        <f t="shared" si="1"/>
        <v>0</v>
      </c>
      <c r="AH61" s="54"/>
    </row>
    <row r="62" spans="1:34" x14ac:dyDescent="0.25">
      <c r="A62">
        <v>1</v>
      </c>
      <c r="B62">
        <v>2017</v>
      </c>
      <c r="C62">
        <v>60</v>
      </c>
      <c r="D62" t="s">
        <v>28</v>
      </c>
      <c r="E62" t="s">
        <v>292</v>
      </c>
      <c r="F62">
        <v>5.1100000000000003</v>
      </c>
      <c r="G62" t="s">
        <v>217</v>
      </c>
      <c r="H62">
        <v>3</v>
      </c>
      <c r="I62">
        <v>8</v>
      </c>
      <c r="J62">
        <v>13.234399999999999</v>
      </c>
      <c r="K62">
        <v>2017</v>
      </c>
      <c r="L62">
        <v>10</v>
      </c>
      <c r="M62" s="54">
        <f>AG62+AH62</f>
        <v>1985.3043478</v>
      </c>
      <c r="N62">
        <v>1</v>
      </c>
      <c r="O62">
        <v>1</v>
      </c>
      <c r="P62">
        <v>1</v>
      </c>
      <c r="Q62">
        <v>3</v>
      </c>
      <c r="R62">
        <v>5</v>
      </c>
      <c r="S62">
        <v>1</v>
      </c>
      <c r="T62" t="s">
        <v>218</v>
      </c>
      <c r="U62">
        <v>8</v>
      </c>
      <c r="V62">
        <v>60.756146640832881</v>
      </c>
      <c r="X62">
        <v>60.756146640832881</v>
      </c>
      <c r="Y62">
        <v>8</v>
      </c>
      <c r="Z62">
        <v>1.84</v>
      </c>
      <c r="AB62">
        <v>0.20781628374036559</v>
      </c>
      <c r="AC62" s="54">
        <f t="shared" si="0"/>
        <v>1.0619412099132683</v>
      </c>
      <c r="AD62">
        <v>3.6096113503053573</v>
      </c>
      <c r="AE62" s="54">
        <f t="shared" si="1"/>
        <v>0.36096113503053573</v>
      </c>
      <c r="AG62">
        <v>994</v>
      </c>
      <c r="AH62" s="54">
        <v>991.30434779999996</v>
      </c>
    </row>
    <row r="63" spans="1:34" x14ac:dyDescent="0.25">
      <c r="A63">
        <v>1</v>
      </c>
      <c r="M63" s="54"/>
      <c r="AB63" t="s">
        <v>101</v>
      </c>
      <c r="AC63" s="54" t="e">
        <f t="shared" si="0"/>
        <v>#VALUE!</v>
      </c>
      <c r="AE63" s="54">
        <f t="shared" si="1"/>
        <v>0</v>
      </c>
      <c r="AH63" s="54"/>
    </row>
    <row r="64" spans="1:34" x14ac:dyDescent="0.25">
      <c r="A64">
        <v>1</v>
      </c>
      <c r="B64">
        <v>2017</v>
      </c>
      <c r="C64">
        <v>60</v>
      </c>
      <c r="D64" t="s">
        <v>28</v>
      </c>
      <c r="E64" t="s">
        <v>74</v>
      </c>
      <c r="F64">
        <v>5.1100000000000003</v>
      </c>
      <c r="G64" t="s">
        <v>217</v>
      </c>
      <c r="H64">
        <v>3</v>
      </c>
      <c r="I64">
        <v>8</v>
      </c>
      <c r="J64">
        <v>13.234399999999999</v>
      </c>
      <c r="K64">
        <v>2017</v>
      </c>
      <c r="L64">
        <v>10</v>
      </c>
      <c r="M64" s="54">
        <f>AG64+AH64</f>
        <v>1985.3043478</v>
      </c>
      <c r="N64">
        <v>1</v>
      </c>
      <c r="O64">
        <v>2</v>
      </c>
      <c r="P64">
        <v>1</v>
      </c>
      <c r="Q64">
        <v>3</v>
      </c>
      <c r="R64">
        <v>4</v>
      </c>
      <c r="S64">
        <v>2</v>
      </c>
      <c r="T64" t="s">
        <v>218</v>
      </c>
      <c r="U64">
        <v>5</v>
      </c>
      <c r="V64">
        <v>48.604917312666302</v>
      </c>
      <c r="Y64">
        <v>5</v>
      </c>
      <c r="Z64">
        <v>1.84</v>
      </c>
      <c r="AB64">
        <v>0.20781628374036559</v>
      </c>
      <c r="AC64" s="54">
        <f t="shared" si="0"/>
        <v>1.0619412099132683</v>
      </c>
      <c r="AD64">
        <v>1.5402774147664728</v>
      </c>
      <c r="AE64" s="54">
        <f t="shared" si="1"/>
        <v>0.15402774147664727</v>
      </c>
      <c r="AG64">
        <v>994</v>
      </c>
      <c r="AH64" s="54">
        <v>991.30434779999996</v>
      </c>
    </row>
    <row r="65" spans="1:34" x14ac:dyDescent="0.25">
      <c r="A65">
        <v>1</v>
      </c>
      <c r="M65" s="54"/>
      <c r="AB65" t="s">
        <v>101</v>
      </c>
      <c r="AC65" s="54" t="e">
        <f t="shared" si="0"/>
        <v>#VALUE!</v>
      </c>
      <c r="AE65" s="54">
        <f t="shared" si="1"/>
        <v>0</v>
      </c>
      <c r="AH65" s="54"/>
    </row>
    <row r="66" spans="1:34" x14ac:dyDescent="0.25">
      <c r="A66">
        <v>1</v>
      </c>
      <c r="B66">
        <v>2017</v>
      </c>
      <c r="C66">
        <v>60</v>
      </c>
      <c r="D66" t="s">
        <v>28</v>
      </c>
      <c r="E66" t="s">
        <v>77</v>
      </c>
      <c r="F66">
        <v>5.1100000000000003</v>
      </c>
      <c r="G66" t="s">
        <v>217</v>
      </c>
      <c r="H66">
        <v>3</v>
      </c>
      <c r="I66">
        <v>8</v>
      </c>
      <c r="J66">
        <v>13.234399999999999</v>
      </c>
      <c r="K66">
        <v>2017</v>
      </c>
      <c r="L66">
        <v>10</v>
      </c>
      <c r="M66" s="54">
        <f>AG66+AH66</f>
        <v>1985.3043478</v>
      </c>
      <c r="N66">
        <v>3</v>
      </c>
      <c r="O66">
        <v>3</v>
      </c>
      <c r="P66">
        <v>1</v>
      </c>
      <c r="Q66">
        <v>3</v>
      </c>
      <c r="R66">
        <v>3</v>
      </c>
      <c r="S66">
        <v>2</v>
      </c>
      <c r="T66" t="s">
        <v>218</v>
      </c>
      <c r="U66">
        <v>2</v>
      </c>
      <c r="V66">
        <v>20</v>
      </c>
      <c r="Y66">
        <v>6</v>
      </c>
      <c r="Z66">
        <v>1.84</v>
      </c>
      <c r="AB66">
        <v>0.20781628374036559</v>
      </c>
      <c r="AC66" s="54">
        <f t="shared" si="0"/>
        <v>1.0619412099132683</v>
      </c>
      <c r="AD66">
        <v>1.698321732225593</v>
      </c>
      <c r="AE66" s="54">
        <f t="shared" si="1"/>
        <v>0.16983217322255931</v>
      </c>
      <c r="AG66">
        <v>994</v>
      </c>
      <c r="AH66" s="54">
        <v>991.30434779999996</v>
      </c>
    </row>
    <row r="67" spans="1:34" x14ac:dyDescent="0.25">
      <c r="A67">
        <v>1</v>
      </c>
      <c r="M67" s="54"/>
      <c r="AB67" t="s">
        <v>101</v>
      </c>
      <c r="AC67" s="54" t="e">
        <f t="shared" ref="AC67:AC130" si="2">F67*AB67</f>
        <v>#VALUE!</v>
      </c>
      <c r="AE67" s="54">
        <f t="shared" ref="AE67:AE130" si="3">AD67/10</f>
        <v>0</v>
      </c>
      <c r="AH67" s="54"/>
    </row>
    <row r="68" spans="1:34" x14ac:dyDescent="0.25">
      <c r="A68">
        <v>1</v>
      </c>
      <c r="B68">
        <v>2017</v>
      </c>
      <c r="C68">
        <v>50</v>
      </c>
      <c r="D68" t="s">
        <v>29</v>
      </c>
      <c r="E68" t="s">
        <v>292</v>
      </c>
      <c r="F68">
        <v>21.26</v>
      </c>
      <c r="G68" t="s">
        <v>217</v>
      </c>
      <c r="H68">
        <v>2</v>
      </c>
      <c r="I68">
        <v>5</v>
      </c>
      <c r="J68">
        <v>19.134499999999999</v>
      </c>
      <c r="K68">
        <v>2017</v>
      </c>
      <c r="L68">
        <v>10</v>
      </c>
      <c r="M68" s="54">
        <f>AG68+AH68</f>
        <v>1756.0434783000001</v>
      </c>
      <c r="N68">
        <v>1</v>
      </c>
      <c r="O68">
        <v>1</v>
      </c>
      <c r="P68">
        <v>1</v>
      </c>
      <c r="Q68">
        <v>4</v>
      </c>
      <c r="R68">
        <v>5</v>
      </c>
      <c r="S68">
        <v>1</v>
      </c>
      <c r="T68" t="s">
        <v>218</v>
      </c>
      <c r="U68">
        <v>8</v>
      </c>
      <c r="V68">
        <v>88.650039151629457</v>
      </c>
      <c r="X68">
        <v>88.650039151629457</v>
      </c>
      <c r="Y68">
        <v>8</v>
      </c>
      <c r="Z68">
        <v>12.88</v>
      </c>
      <c r="AB68">
        <v>0.21315997163323411</v>
      </c>
      <c r="AC68" s="54">
        <f t="shared" si="2"/>
        <v>4.5317809969225573</v>
      </c>
      <c r="AD68">
        <v>9.0578941697349649</v>
      </c>
      <c r="AE68" s="54">
        <f t="shared" si="3"/>
        <v>0.90578941697349646</v>
      </c>
      <c r="AG68">
        <v>868</v>
      </c>
      <c r="AH68" s="54">
        <v>888.04347829999995</v>
      </c>
    </row>
    <row r="69" spans="1:34" x14ac:dyDescent="0.25">
      <c r="A69">
        <v>1</v>
      </c>
      <c r="M69" s="54"/>
      <c r="AB69" t="s">
        <v>101</v>
      </c>
      <c r="AC69" s="54" t="e">
        <f t="shared" si="2"/>
        <v>#VALUE!</v>
      </c>
      <c r="AE69" s="54">
        <f t="shared" si="3"/>
        <v>0</v>
      </c>
      <c r="AH69" s="54"/>
    </row>
    <row r="70" spans="1:34" x14ac:dyDescent="0.25">
      <c r="A70">
        <v>1</v>
      </c>
      <c r="B70">
        <v>2017</v>
      </c>
      <c r="C70">
        <v>50</v>
      </c>
      <c r="D70" t="s">
        <v>29</v>
      </c>
      <c r="E70" t="s">
        <v>74</v>
      </c>
      <c r="F70">
        <v>21.26</v>
      </c>
      <c r="G70" t="s">
        <v>217</v>
      </c>
      <c r="H70">
        <v>2</v>
      </c>
      <c r="I70">
        <v>5</v>
      </c>
      <c r="J70">
        <v>19.134499999999999</v>
      </c>
      <c r="K70">
        <v>2017</v>
      </c>
      <c r="L70">
        <v>10</v>
      </c>
      <c r="M70" s="54">
        <f>AG70+AH70</f>
        <v>1756.0434783000001</v>
      </c>
      <c r="N70">
        <v>1</v>
      </c>
      <c r="O70">
        <v>2</v>
      </c>
      <c r="P70">
        <v>1</v>
      </c>
      <c r="Q70">
        <v>4</v>
      </c>
      <c r="R70">
        <v>4</v>
      </c>
      <c r="S70">
        <v>2</v>
      </c>
      <c r="T70" t="s">
        <v>218</v>
      </c>
      <c r="U70">
        <v>5</v>
      </c>
      <c r="V70">
        <v>70.920031321303568</v>
      </c>
      <c r="Y70">
        <v>5</v>
      </c>
      <c r="Z70">
        <v>12.88</v>
      </c>
      <c r="AB70">
        <v>0.21315997163323411</v>
      </c>
      <c r="AC70" s="54">
        <f t="shared" si="2"/>
        <v>4.5317809969225573</v>
      </c>
      <c r="AD70">
        <v>4.6949410687015627</v>
      </c>
      <c r="AE70" s="54">
        <f t="shared" si="3"/>
        <v>0.46949410687015625</v>
      </c>
      <c r="AG70">
        <v>868</v>
      </c>
      <c r="AH70" s="54">
        <v>888.04347829999995</v>
      </c>
    </row>
    <row r="71" spans="1:34" x14ac:dyDescent="0.25">
      <c r="A71">
        <v>1</v>
      </c>
      <c r="M71" s="54"/>
      <c r="AB71" t="s">
        <v>101</v>
      </c>
      <c r="AC71" s="54" t="e">
        <f t="shared" si="2"/>
        <v>#VALUE!</v>
      </c>
      <c r="AE71" s="54">
        <f t="shared" si="3"/>
        <v>0</v>
      </c>
      <c r="AH71" s="54"/>
    </row>
    <row r="72" spans="1:34" x14ac:dyDescent="0.25">
      <c r="A72">
        <v>1</v>
      </c>
      <c r="B72">
        <v>2017</v>
      </c>
      <c r="C72">
        <v>50</v>
      </c>
      <c r="D72" t="s">
        <v>29</v>
      </c>
      <c r="E72" t="s">
        <v>77</v>
      </c>
      <c r="F72">
        <v>21.26</v>
      </c>
      <c r="G72" t="s">
        <v>217</v>
      </c>
      <c r="H72">
        <v>2</v>
      </c>
      <c r="I72">
        <v>5</v>
      </c>
      <c r="J72">
        <v>19.134499999999999</v>
      </c>
      <c r="K72">
        <v>2017</v>
      </c>
      <c r="L72">
        <v>10</v>
      </c>
      <c r="M72" s="54">
        <f>AG72+AH72</f>
        <v>1756.0434783000001</v>
      </c>
      <c r="N72">
        <v>3</v>
      </c>
      <c r="O72">
        <v>3</v>
      </c>
      <c r="P72">
        <v>1</v>
      </c>
      <c r="Q72">
        <v>4</v>
      </c>
      <c r="R72">
        <v>3</v>
      </c>
      <c r="S72">
        <v>2</v>
      </c>
      <c r="T72" t="s">
        <v>218</v>
      </c>
      <c r="U72">
        <v>2</v>
      </c>
      <c r="V72">
        <v>20</v>
      </c>
      <c r="Y72">
        <v>6</v>
      </c>
      <c r="Z72">
        <v>12.88</v>
      </c>
      <c r="AB72">
        <v>0.21315997163323411</v>
      </c>
      <c r="AC72" s="54">
        <f t="shared" si="2"/>
        <v>4.5317809969225573</v>
      </c>
      <c r="AD72">
        <v>4.3757464856717787</v>
      </c>
      <c r="AE72" s="54">
        <f t="shared" si="3"/>
        <v>0.43757464856717787</v>
      </c>
      <c r="AG72">
        <v>868</v>
      </c>
      <c r="AH72" s="54">
        <v>888.04347829999995</v>
      </c>
    </row>
    <row r="73" spans="1:34" x14ac:dyDescent="0.25">
      <c r="A73">
        <v>1</v>
      </c>
      <c r="M73" s="54"/>
      <c r="AB73" t="s">
        <v>101</v>
      </c>
      <c r="AC73" s="54" t="e">
        <f t="shared" si="2"/>
        <v>#VALUE!</v>
      </c>
      <c r="AE73" s="54">
        <f t="shared" si="3"/>
        <v>0</v>
      </c>
      <c r="AH73" s="54"/>
    </row>
    <row r="74" spans="1:34" x14ac:dyDescent="0.25">
      <c r="A74">
        <v>1</v>
      </c>
      <c r="B74">
        <v>2017</v>
      </c>
      <c r="C74">
        <v>43</v>
      </c>
      <c r="D74" t="s">
        <v>30</v>
      </c>
      <c r="E74" t="s">
        <v>292</v>
      </c>
      <c r="F74">
        <v>8.49</v>
      </c>
      <c r="G74" t="s">
        <v>217</v>
      </c>
      <c r="H74">
        <v>3</v>
      </c>
      <c r="I74">
        <v>11</v>
      </c>
      <c r="J74">
        <v>16.826999999999998</v>
      </c>
      <c r="K74">
        <v>2017</v>
      </c>
      <c r="L74">
        <v>10</v>
      </c>
      <c r="M74" s="54">
        <f>AG74+AH74</f>
        <v>1979.913043</v>
      </c>
      <c r="N74">
        <v>1</v>
      </c>
      <c r="O74">
        <v>1</v>
      </c>
      <c r="P74">
        <v>1</v>
      </c>
      <c r="Q74">
        <v>3</v>
      </c>
      <c r="R74">
        <v>5</v>
      </c>
      <c r="S74">
        <v>1</v>
      </c>
      <c r="T74" t="s">
        <v>218</v>
      </c>
      <c r="U74">
        <v>8</v>
      </c>
      <c r="V74">
        <v>81.799000780062158</v>
      </c>
      <c r="X74">
        <v>81.799000780062158</v>
      </c>
      <c r="Y74">
        <v>8</v>
      </c>
      <c r="Z74">
        <v>1.38</v>
      </c>
      <c r="AB74">
        <v>0.20793323890089635</v>
      </c>
      <c r="AC74" s="54">
        <f t="shared" si="2"/>
        <v>1.7653531982686101</v>
      </c>
      <c r="AD74">
        <v>5.6886591422910904</v>
      </c>
      <c r="AE74" s="54">
        <f t="shared" si="3"/>
        <v>0.56886591422910904</v>
      </c>
      <c r="AG74">
        <v>906</v>
      </c>
      <c r="AH74" s="54">
        <v>1073.913043</v>
      </c>
    </row>
    <row r="75" spans="1:34" x14ac:dyDescent="0.25">
      <c r="A75">
        <v>1</v>
      </c>
      <c r="M75" s="54"/>
      <c r="AB75" t="s">
        <v>101</v>
      </c>
      <c r="AC75" s="54" t="e">
        <f t="shared" si="2"/>
        <v>#VALUE!</v>
      </c>
      <c r="AE75" s="54">
        <f t="shared" si="3"/>
        <v>0</v>
      </c>
      <c r="AH75" s="54"/>
    </row>
    <row r="76" spans="1:34" x14ac:dyDescent="0.25">
      <c r="A76">
        <v>1</v>
      </c>
      <c r="B76">
        <v>2017</v>
      </c>
      <c r="C76">
        <v>43</v>
      </c>
      <c r="D76" t="s">
        <v>30</v>
      </c>
      <c r="E76" t="s">
        <v>74</v>
      </c>
      <c r="F76">
        <v>8.49</v>
      </c>
      <c r="G76" t="s">
        <v>217</v>
      </c>
      <c r="H76">
        <v>3</v>
      </c>
      <c r="I76">
        <v>11</v>
      </c>
      <c r="J76">
        <v>16.826999999999998</v>
      </c>
      <c r="K76">
        <v>2017</v>
      </c>
      <c r="L76">
        <v>10</v>
      </c>
      <c r="M76" s="54">
        <f>AG76+AH76</f>
        <v>1979.913043</v>
      </c>
      <c r="N76">
        <v>1</v>
      </c>
      <c r="O76">
        <v>2</v>
      </c>
      <c r="P76">
        <v>1</v>
      </c>
      <c r="Q76">
        <v>3</v>
      </c>
      <c r="R76">
        <v>4</v>
      </c>
      <c r="S76">
        <v>2</v>
      </c>
      <c r="T76" t="s">
        <v>218</v>
      </c>
      <c r="U76">
        <v>5</v>
      </c>
      <c r="V76">
        <v>65.439200624049732</v>
      </c>
      <c r="Y76">
        <v>5</v>
      </c>
      <c r="Z76">
        <v>1.38</v>
      </c>
      <c r="AB76">
        <v>0.20793323890089635</v>
      </c>
      <c r="AC76" s="54">
        <f t="shared" si="2"/>
        <v>1.7653531982686101</v>
      </c>
      <c r="AD76">
        <v>2.6137774837061287</v>
      </c>
      <c r="AE76" s="54">
        <f t="shared" si="3"/>
        <v>0.26137774837061289</v>
      </c>
      <c r="AG76">
        <v>906</v>
      </c>
      <c r="AH76" s="54">
        <v>1073.913043</v>
      </c>
    </row>
    <row r="77" spans="1:34" x14ac:dyDescent="0.25">
      <c r="A77">
        <v>1</v>
      </c>
      <c r="M77" s="54"/>
      <c r="AB77" t="s">
        <v>101</v>
      </c>
      <c r="AC77" s="54" t="e">
        <f t="shared" si="2"/>
        <v>#VALUE!</v>
      </c>
      <c r="AE77" s="54">
        <f t="shared" si="3"/>
        <v>0</v>
      </c>
      <c r="AH77" s="54"/>
    </row>
    <row r="78" spans="1:34" x14ac:dyDescent="0.25">
      <c r="A78">
        <v>1</v>
      </c>
      <c r="B78">
        <v>2017</v>
      </c>
      <c r="C78">
        <v>43</v>
      </c>
      <c r="D78" t="s">
        <v>30</v>
      </c>
      <c r="E78" t="s">
        <v>77</v>
      </c>
      <c r="F78">
        <v>8.49</v>
      </c>
      <c r="G78" t="s">
        <v>217</v>
      </c>
      <c r="H78">
        <v>3</v>
      </c>
      <c r="I78">
        <v>11</v>
      </c>
      <c r="J78">
        <v>16.826999999999998</v>
      </c>
      <c r="K78">
        <v>2017</v>
      </c>
      <c r="L78">
        <v>10</v>
      </c>
      <c r="M78" s="54">
        <f>AG78+AH78</f>
        <v>1979.913043</v>
      </c>
      <c r="N78">
        <v>3</v>
      </c>
      <c r="O78">
        <v>3</v>
      </c>
      <c r="P78">
        <v>1</v>
      </c>
      <c r="Q78">
        <v>3</v>
      </c>
      <c r="R78">
        <v>3</v>
      </c>
      <c r="S78">
        <v>2</v>
      </c>
      <c r="T78" t="s">
        <v>218</v>
      </c>
      <c r="U78">
        <v>2</v>
      </c>
      <c r="V78">
        <v>20</v>
      </c>
      <c r="Y78">
        <v>6</v>
      </c>
      <c r="Z78">
        <v>1.38</v>
      </c>
      <c r="AB78">
        <v>0.20793323890089635</v>
      </c>
      <c r="AC78" s="54">
        <f t="shared" si="2"/>
        <v>1.7653531982686101</v>
      </c>
      <c r="AD78">
        <v>2.6923597215847073</v>
      </c>
      <c r="AE78" s="54">
        <f t="shared" si="3"/>
        <v>0.26923597215847073</v>
      </c>
      <c r="AG78">
        <v>906</v>
      </c>
      <c r="AH78" s="54">
        <v>1073.913043</v>
      </c>
    </row>
    <row r="79" spans="1:34" x14ac:dyDescent="0.25">
      <c r="A79">
        <v>1</v>
      </c>
      <c r="M79" s="54"/>
      <c r="AB79" t="s">
        <v>101</v>
      </c>
      <c r="AC79" s="54" t="e">
        <f t="shared" si="2"/>
        <v>#VALUE!</v>
      </c>
      <c r="AE79" s="54">
        <f t="shared" si="3"/>
        <v>0</v>
      </c>
      <c r="AH79" s="54"/>
    </row>
    <row r="80" spans="1:34" x14ac:dyDescent="0.25">
      <c r="A80">
        <v>1</v>
      </c>
      <c r="B80">
        <v>2017</v>
      </c>
      <c r="C80">
        <v>32</v>
      </c>
      <c r="D80" t="s">
        <v>90</v>
      </c>
      <c r="E80" t="s">
        <v>292</v>
      </c>
      <c r="F80">
        <v>20.76</v>
      </c>
      <c r="G80" t="s">
        <v>217</v>
      </c>
      <c r="H80">
        <v>2</v>
      </c>
      <c r="I80">
        <v>5</v>
      </c>
      <c r="J80">
        <v>14.3491</v>
      </c>
      <c r="K80">
        <v>2017</v>
      </c>
      <c r="L80">
        <v>10</v>
      </c>
      <c r="M80" s="54">
        <f>AG80+AH80</f>
        <v>1963.9565219999999</v>
      </c>
      <c r="N80">
        <v>1</v>
      </c>
      <c r="O80">
        <v>1</v>
      </c>
      <c r="P80">
        <v>1</v>
      </c>
      <c r="Q80">
        <v>4</v>
      </c>
      <c r="R80">
        <v>5</v>
      </c>
      <c r="S80">
        <v>1</v>
      </c>
      <c r="T80" t="s">
        <v>218</v>
      </c>
      <c r="U80">
        <v>8</v>
      </c>
      <c r="V80">
        <v>21.2441892705112</v>
      </c>
      <c r="X80">
        <v>21.2441892705112</v>
      </c>
      <c r="Y80">
        <v>8</v>
      </c>
      <c r="Z80">
        <v>5.75</v>
      </c>
      <c r="AB80">
        <v>0.20828165325514394</v>
      </c>
      <c r="AC80" s="54">
        <f t="shared" si="2"/>
        <v>4.3239271215767889</v>
      </c>
      <c r="AD80">
        <v>5.4837187387944075</v>
      </c>
      <c r="AE80" s="54">
        <f t="shared" si="3"/>
        <v>0.54837187387944075</v>
      </c>
      <c r="AG80">
        <v>952</v>
      </c>
      <c r="AH80" s="54">
        <v>1011.9565219999999</v>
      </c>
    </row>
    <row r="81" spans="1:34" x14ac:dyDescent="0.25">
      <c r="A81">
        <v>1</v>
      </c>
      <c r="M81" s="54"/>
      <c r="AB81" t="s">
        <v>101</v>
      </c>
      <c r="AC81" s="54" t="e">
        <f t="shared" si="2"/>
        <v>#VALUE!</v>
      </c>
      <c r="AE81" s="54">
        <f t="shared" si="3"/>
        <v>0</v>
      </c>
      <c r="AH81" s="54"/>
    </row>
    <row r="82" spans="1:34" x14ac:dyDescent="0.25">
      <c r="A82">
        <v>1</v>
      </c>
      <c r="B82">
        <v>2017</v>
      </c>
      <c r="C82">
        <v>32</v>
      </c>
      <c r="D82" t="s">
        <v>90</v>
      </c>
      <c r="E82" t="s">
        <v>74</v>
      </c>
      <c r="F82">
        <v>20.76</v>
      </c>
      <c r="G82" t="s">
        <v>217</v>
      </c>
      <c r="H82">
        <v>2</v>
      </c>
      <c r="I82">
        <v>5</v>
      </c>
      <c r="J82">
        <v>14.3491</v>
      </c>
      <c r="K82">
        <v>2017</v>
      </c>
      <c r="L82">
        <v>10</v>
      </c>
      <c r="M82" s="54">
        <f>AG82+AH82</f>
        <v>1963.9565219999999</v>
      </c>
      <c r="N82">
        <v>1</v>
      </c>
      <c r="O82">
        <v>2</v>
      </c>
      <c r="P82">
        <v>1</v>
      </c>
      <c r="Q82">
        <v>4</v>
      </c>
      <c r="R82">
        <v>4</v>
      </c>
      <c r="S82">
        <v>2</v>
      </c>
      <c r="T82" t="s">
        <v>218</v>
      </c>
      <c r="U82">
        <v>5</v>
      </c>
      <c r="V82">
        <v>16.995351416408958</v>
      </c>
      <c r="Y82">
        <v>5</v>
      </c>
      <c r="Z82">
        <v>5.75</v>
      </c>
      <c r="AB82">
        <v>0.20828165325514394</v>
      </c>
      <c r="AC82" s="54">
        <f t="shared" si="2"/>
        <v>4.3239271215767889</v>
      </c>
      <c r="AD82">
        <v>3.8138216335494373</v>
      </c>
      <c r="AE82" s="54">
        <f t="shared" si="3"/>
        <v>0.38138216335494374</v>
      </c>
      <c r="AG82">
        <v>952</v>
      </c>
      <c r="AH82" s="54">
        <v>1011.9565219999999</v>
      </c>
    </row>
    <row r="83" spans="1:34" x14ac:dyDescent="0.25">
      <c r="A83">
        <v>1</v>
      </c>
      <c r="M83" s="54"/>
      <c r="AB83" t="s">
        <v>101</v>
      </c>
      <c r="AC83" s="54" t="e">
        <f t="shared" si="2"/>
        <v>#VALUE!</v>
      </c>
      <c r="AE83" s="54">
        <f t="shared" si="3"/>
        <v>0</v>
      </c>
      <c r="AH83" s="54"/>
    </row>
    <row r="84" spans="1:34" x14ac:dyDescent="0.25">
      <c r="A84">
        <v>1</v>
      </c>
      <c r="B84">
        <v>2017</v>
      </c>
      <c r="C84">
        <v>32</v>
      </c>
      <c r="D84" t="s">
        <v>90</v>
      </c>
      <c r="E84" t="s">
        <v>77</v>
      </c>
      <c r="F84">
        <v>20.76</v>
      </c>
      <c r="G84" t="s">
        <v>217</v>
      </c>
      <c r="H84">
        <v>2</v>
      </c>
      <c r="I84">
        <v>5</v>
      </c>
      <c r="J84">
        <v>14.3491</v>
      </c>
      <c r="K84">
        <v>2017</v>
      </c>
      <c r="L84">
        <v>10</v>
      </c>
      <c r="M84" s="54">
        <f>AG84+AH84</f>
        <v>1963.9565219999999</v>
      </c>
      <c r="N84">
        <v>3</v>
      </c>
      <c r="O84">
        <v>3</v>
      </c>
      <c r="P84">
        <v>1</v>
      </c>
      <c r="Q84">
        <v>4</v>
      </c>
      <c r="R84">
        <v>3</v>
      </c>
      <c r="S84">
        <v>2</v>
      </c>
      <c r="T84" t="s">
        <v>218</v>
      </c>
      <c r="U84">
        <v>2</v>
      </c>
      <c r="V84">
        <v>20</v>
      </c>
      <c r="Y84">
        <v>6</v>
      </c>
      <c r="Z84">
        <v>5.75</v>
      </c>
      <c r="AB84">
        <v>0.20828165325514394</v>
      </c>
      <c r="AC84" s="54">
        <f t="shared" si="2"/>
        <v>4.3239271215767889</v>
      </c>
      <c r="AD84">
        <v>3.9405214156752839</v>
      </c>
      <c r="AE84" s="54">
        <f t="shared" si="3"/>
        <v>0.39405214156752838</v>
      </c>
      <c r="AG84">
        <v>952</v>
      </c>
      <c r="AH84" s="54">
        <v>1011.9565219999999</v>
      </c>
    </row>
    <row r="85" spans="1:34" x14ac:dyDescent="0.25">
      <c r="A85">
        <v>1</v>
      </c>
      <c r="M85" s="54"/>
      <c r="AB85" t="s">
        <v>101</v>
      </c>
      <c r="AC85" s="54" t="e">
        <f t="shared" si="2"/>
        <v>#VALUE!</v>
      </c>
      <c r="AE85" s="54">
        <f t="shared" si="3"/>
        <v>0</v>
      </c>
      <c r="AH85" s="54"/>
    </row>
    <row r="86" spans="1:34" x14ac:dyDescent="0.25">
      <c r="A86">
        <v>1</v>
      </c>
      <c r="B86">
        <v>2017</v>
      </c>
      <c r="C86">
        <v>14</v>
      </c>
      <c r="D86" t="s">
        <v>91</v>
      </c>
      <c r="E86" t="s">
        <v>292</v>
      </c>
      <c r="F86">
        <v>12.02</v>
      </c>
      <c r="G86" t="s">
        <v>99</v>
      </c>
      <c r="H86">
        <v>2</v>
      </c>
      <c r="I86">
        <v>6</v>
      </c>
      <c r="J86">
        <v>14.569199999999999</v>
      </c>
      <c r="K86">
        <v>2017</v>
      </c>
      <c r="L86">
        <v>10</v>
      </c>
      <c r="M86" s="54">
        <f>AG86+AH86</f>
        <v>2100.6086960000002</v>
      </c>
      <c r="N86">
        <v>1</v>
      </c>
      <c r="O86">
        <v>1</v>
      </c>
      <c r="P86">
        <v>1</v>
      </c>
      <c r="Q86">
        <v>3</v>
      </c>
      <c r="R86">
        <v>5</v>
      </c>
      <c r="S86">
        <v>1</v>
      </c>
      <c r="T86" t="s">
        <v>218</v>
      </c>
      <c r="U86">
        <v>8</v>
      </c>
      <c r="V86">
        <v>94.478551689634855</v>
      </c>
      <c r="X86">
        <v>94.478551689634855</v>
      </c>
      <c r="Y86">
        <v>8</v>
      </c>
      <c r="Z86">
        <v>1.1499999999999999</v>
      </c>
      <c r="AB86">
        <v>0.20540300200102199</v>
      </c>
      <c r="AC86" s="54">
        <f t="shared" si="2"/>
        <v>2.4689440840522843</v>
      </c>
      <c r="AD86">
        <v>7.0842145513249513</v>
      </c>
      <c r="AE86" s="54">
        <f t="shared" si="3"/>
        <v>0.7084214551324951</v>
      </c>
      <c r="AG86">
        <v>1068</v>
      </c>
      <c r="AH86" s="54">
        <v>1032.608696</v>
      </c>
    </row>
    <row r="87" spans="1:34" x14ac:dyDescent="0.25">
      <c r="A87">
        <v>1</v>
      </c>
      <c r="M87" s="54"/>
      <c r="AB87" t="s">
        <v>101</v>
      </c>
      <c r="AC87" s="54" t="e">
        <f t="shared" si="2"/>
        <v>#VALUE!</v>
      </c>
      <c r="AE87" s="54">
        <f t="shared" si="3"/>
        <v>0</v>
      </c>
      <c r="AH87" s="54"/>
    </row>
    <row r="88" spans="1:34" x14ac:dyDescent="0.25">
      <c r="A88">
        <v>1</v>
      </c>
      <c r="B88">
        <v>2017</v>
      </c>
      <c r="C88">
        <v>14</v>
      </c>
      <c r="D88" t="s">
        <v>91</v>
      </c>
      <c r="E88" t="s">
        <v>74</v>
      </c>
      <c r="F88">
        <v>12.02</v>
      </c>
      <c r="G88" t="s">
        <v>99</v>
      </c>
      <c r="H88">
        <v>2</v>
      </c>
      <c r="I88">
        <v>6</v>
      </c>
      <c r="J88">
        <v>14.569199999999999</v>
      </c>
      <c r="K88">
        <v>2017</v>
      </c>
      <c r="L88">
        <v>10</v>
      </c>
      <c r="M88" s="54">
        <f>AG88+AH88</f>
        <v>2100.6086960000002</v>
      </c>
      <c r="N88">
        <v>1</v>
      </c>
      <c r="O88">
        <v>2</v>
      </c>
      <c r="P88">
        <v>1</v>
      </c>
      <c r="Q88">
        <v>3</v>
      </c>
      <c r="R88">
        <v>4</v>
      </c>
      <c r="S88">
        <v>2</v>
      </c>
      <c r="T88" t="s">
        <v>218</v>
      </c>
      <c r="U88">
        <v>5</v>
      </c>
      <c r="V88">
        <v>75.582841351707884</v>
      </c>
      <c r="Y88">
        <v>5</v>
      </c>
      <c r="Z88">
        <v>1.1499999999999999</v>
      </c>
      <c r="AB88">
        <v>0.20540300200102199</v>
      </c>
      <c r="AC88" s="54">
        <f t="shared" si="2"/>
        <v>2.4689440840522843</v>
      </c>
      <c r="AD88">
        <v>3.0078118318044695</v>
      </c>
      <c r="AE88" s="54">
        <f t="shared" si="3"/>
        <v>0.30078118318044694</v>
      </c>
      <c r="AG88">
        <v>1068</v>
      </c>
      <c r="AH88" s="54">
        <v>1032.608696</v>
      </c>
    </row>
    <row r="89" spans="1:34" x14ac:dyDescent="0.25">
      <c r="A89">
        <v>1</v>
      </c>
      <c r="M89" s="54"/>
      <c r="AB89" t="s">
        <v>101</v>
      </c>
      <c r="AC89" s="54" t="e">
        <f t="shared" si="2"/>
        <v>#VALUE!</v>
      </c>
      <c r="AE89" s="54">
        <f t="shared" si="3"/>
        <v>0</v>
      </c>
      <c r="AH89" s="54"/>
    </row>
    <row r="90" spans="1:34" x14ac:dyDescent="0.25">
      <c r="A90">
        <v>1</v>
      </c>
      <c r="B90">
        <v>2017</v>
      </c>
      <c r="C90">
        <v>14</v>
      </c>
      <c r="D90" t="s">
        <v>91</v>
      </c>
      <c r="E90" t="s">
        <v>77</v>
      </c>
      <c r="F90">
        <v>12.02</v>
      </c>
      <c r="G90" t="s">
        <v>99</v>
      </c>
      <c r="H90">
        <v>2</v>
      </c>
      <c r="I90">
        <v>6</v>
      </c>
      <c r="J90">
        <v>14.569199999999999</v>
      </c>
      <c r="K90">
        <v>2017</v>
      </c>
      <c r="L90">
        <v>10</v>
      </c>
      <c r="M90" s="54">
        <f>AG90+AH90</f>
        <v>2100.6086960000002</v>
      </c>
      <c r="N90">
        <v>3</v>
      </c>
      <c r="O90">
        <v>3</v>
      </c>
      <c r="P90">
        <v>1</v>
      </c>
      <c r="Q90">
        <v>3</v>
      </c>
      <c r="R90">
        <v>3</v>
      </c>
      <c r="S90">
        <v>2</v>
      </c>
      <c r="T90" t="s">
        <v>218</v>
      </c>
      <c r="U90">
        <v>2</v>
      </c>
      <c r="V90">
        <v>20</v>
      </c>
      <c r="Y90">
        <v>6</v>
      </c>
      <c r="Z90">
        <v>1.1499999999999999</v>
      </c>
      <c r="AB90">
        <v>0.20540300200102199</v>
      </c>
      <c r="AC90" s="54">
        <f t="shared" si="2"/>
        <v>2.4689440840522843</v>
      </c>
      <c r="AD90">
        <v>2.7702498050998425</v>
      </c>
      <c r="AE90" s="54">
        <f t="shared" si="3"/>
        <v>0.27702498050998425</v>
      </c>
      <c r="AG90">
        <v>1068</v>
      </c>
      <c r="AH90" s="54">
        <v>1032.608696</v>
      </c>
    </row>
    <row r="91" spans="1:34" x14ac:dyDescent="0.25">
      <c r="A91">
        <v>1</v>
      </c>
      <c r="M91" s="54"/>
      <c r="AC91" s="54">
        <f t="shared" si="2"/>
        <v>0</v>
      </c>
      <c r="AE91" s="54">
        <f t="shared" si="3"/>
        <v>0</v>
      </c>
      <c r="AH91" s="54"/>
    </row>
    <row r="92" spans="1:34" x14ac:dyDescent="0.25">
      <c r="A92">
        <v>1</v>
      </c>
      <c r="B92">
        <v>2017</v>
      </c>
      <c r="C92">
        <v>25</v>
      </c>
      <c r="D92" t="s">
        <v>33</v>
      </c>
      <c r="E92" t="s">
        <v>292</v>
      </c>
      <c r="F92">
        <v>56.04</v>
      </c>
      <c r="G92" t="s">
        <v>217</v>
      </c>
      <c r="H92">
        <v>2</v>
      </c>
      <c r="I92">
        <v>3</v>
      </c>
      <c r="J92">
        <v>23.756599999999999</v>
      </c>
      <c r="K92">
        <v>2017</v>
      </c>
      <c r="L92">
        <v>10</v>
      </c>
      <c r="M92" s="54">
        <f>AG92+AH92</f>
        <v>1463.4782608999999</v>
      </c>
      <c r="N92">
        <v>1</v>
      </c>
      <c r="O92">
        <v>1</v>
      </c>
      <c r="P92">
        <v>1</v>
      </c>
      <c r="Q92">
        <v>4</v>
      </c>
      <c r="R92">
        <v>5</v>
      </c>
      <c r="S92">
        <v>1</v>
      </c>
      <c r="T92" t="s">
        <v>218</v>
      </c>
      <c r="U92">
        <v>8</v>
      </c>
      <c r="V92">
        <v>89.832757810193172</v>
      </c>
      <c r="X92">
        <v>89.832757810193172</v>
      </c>
      <c r="Y92">
        <v>8</v>
      </c>
      <c r="Z92">
        <v>25.53</v>
      </c>
      <c r="AB92">
        <v>0.22135104650078841</v>
      </c>
      <c r="AC92" s="54">
        <f t="shared" si="2"/>
        <v>12.404512645904182</v>
      </c>
      <c r="AD92">
        <v>16.511054113589996</v>
      </c>
      <c r="AE92" s="54">
        <f t="shared" si="3"/>
        <v>1.6511054113589996</v>
      </c>
      <c r="AG92">
        <v>720</v>
      </c>
      <c r="AH92" s="54">
        <v>743.47826090000001</v>
      </c>
    </row>
    <row r="93" spans="1:34" x14ac:dyDescent="0.25">
      <c r="A93">
        <v>1</v>
      </c>
      <c r="M93" s="54"/>
      <c r="AB93" t="s">
        <v>101</v>
      </c>
      <c r="AC93" s="54" t="e">
        <f t="shared" si="2"/>
        <v>#VALUE!</v>
      </c>
      <c r="AE93" s="54">
        <f t="shared" si="3"/>
        <v>0</v>
      </c>
      <c r="AH93" s="54"/>
    </row>
    <row r="94" spans="1:34" x14ac:dyDescent="0.25">
      <c r="A94">
        <v>1</v>
      </c>
      <c r="B94">
        <v>2017</v>
      </c>
      <c r="C94">
        <v>25</v>
      </c>
      <c r="D94" t="s">
        <v>33</v>
      </c>
      <c r="E94" t="s">
        <v>74</v>
      </c>
      <c r="F94">
        <v>56.04</v>
      </c>
      <c r="G94" t="s">
        <v>217</v>
      </c>
      <c r="H94">
        <v>2</v>
      </c>
      <c r="I94">
        <v>3</v>
      </c>
      <c r="J94">
        <v>23.756599999999999</v>
      </c>
      <c r="K94">
        <v>2017</v>
      </c>
      <c r="L94">
        <v>10</v>
      </c>
      <c r="M94" s="54">
        <f>AG94+AH94</f>
        <v>1463.4782608999999</v>
      </c>
      <c r="N94">
        <v>1</v>
      </c>
      <c r="O94">
        <v>2</v>
      </c>
      <c r="P94">
        <v>1</v>
      </c>
      <c r="Q94">
        <v>4</v>
      </c>
      <c r="R94">
        <v>4</v>
      </c>
      <c r="S94">
        <v>2</v>
      </c>
      <c r="T94" t="s">
        <v>218</v>
      </c>
      <c r="U94">
        <v>5</v>
      </c>
      <c r="V94">
        <v>71.866206248154541</v>
      </c>
      <c r="Y94">
        <v>5</v>
      </c>
      <c r="Z94">
        <v>25.53</v>
      </c>
      <c r="AB94">
        <v>0.22135104650078841</v>
      </c>
      <c r="AC94" s="54">
        <f t="shared" si="2"/>
        <v>12.404512645904182</v>
      </c>
      <c r="AD94">
        <v>10.099315475631125</v>
      </c>
      <c r="AE94" s="54">
        <f t="shared" si="3"/>
        <v>1.0099315475631125</v>
      </c>
      <c r="AG94">
        <v>720</v>
      </c>
      <c r="AH94" s="54">
        <v>743.47826090000001</v>
      </c>
    </row>
    <row r="95" spans="1:34" x14ac:dyDescent="0.25">
      <c r="A95">
        <v>1</v>
      </c>
      <c r="M95" s="54"/>
      <c r="AB95" t="s">
        <v>101</v>
      </c>
      <c r="AC95" s="54" t="e">
        <f t="shared" si="2"/>
        <v>#VALUE!</v>
      </c>
      <c r="AE95" s="54">
        <f t="shared" si="3"/>
        <v>0</v>
      </c>
      <c r="AH95" s="54"/>
    </row>
    <row r="96" spans="1:34" x14ac:dyDescent="0.25">
      <c r="A96">
        <v>1</v>
      </c>
      <c r="B96">
        <v>2017</v>
      </c>
      <c r="C96">
        <v>25</v>
      </c>
      <c r="D96" t="s">
        <v>33</v>
      </c>
      <c r="E96" t="s">
        <v>77</v>
      </c>
      <c r="F96">
        <v>56.04</v>
      </c>
      <c r="G96" t="s">
        <v>217</v>
      </c>
      <c r="H96">
        <v>2</v>
      </c>
      <c r="I96">
        <v>3</v>
      </c>
      <c r="J96">
        <v>23.756599999999999</v>
      </c>
      <c r="K96">
        <v>2017</v>
      </c>
      <c r="L96">
        <v>10</v>
      </c>
      <c r="M96" s="54">
        <f>AG96+AH96</f>
        <v>1463.4782608999999</v>
      </c>
      <c r="N96">
        <v>3</v>
      </c>
      <c r="O96">
        <v>3</v>
      </c>
      <c r="P96">
        <v>1</v>
      </c>
      <c r="Q96">
        <v>4</v>
      </c>
      <c r="R96">
        <v>3</v>
      </c>
      <c r="S96">
        <v>2</v>
      </c>
      <c r="T96" t="s">
        <v>218</v>
      </c>
      <c r="U96">
        <v>2</v>
      </c>
      <c r="V96">
        <v>20</v>
      </c>
      <c r="Y96">
        <v>6</v>
      </c>
      <c r="Z96">
        <v>25.53</v>
      </c>
      <c r="AB96">
        <v>0.22135104650078841</v>
      </c>
      <c r="AC96" s="54">
        <f t="shared" si="2"/>
        <v>12.404512645904182</v>
      </c>
      <c r="AD96">
        <v>9.7532049871811299</v>
      </c>
      <c r="AE96" s="54">
        <f t="shared" si="3"/>
        <v>0.97532049871811299</v>
      </c>
      <c r="AG96">
        <v>720</v>
      </c>
      <c r="AH96" s="54">
        <v>743.47826090000001</v>
      </c>
    </row>
    <row r="97" spans="1:34" x14ac:dyDescent="0.25">
      <c r="A97">
        <v>1</v>
      </c>
      <c r="M97" s="54"/>
      <c r="AB97" t="s">
        <v>101</v>
      </c>
      <c r="AC97" s="54" t="e">
        <f t="shared" si="2"/>
        <v>#VALUE!</v>
      </c>
      <c r="AE97" s="54">
        <f t="shared" si="3"/>
        <v>0</v>
      </c>
      <c r="AH97" s="54"/>
    </row>
    <row r="98" spans="1:34" x14ac:dyDescent="0.25">
      <c r="A98">
        <v>1</v>
      </c>
      <c r="B98">
        <v>2017</v>
      </c>
      <c r="C98">
        <v>46</v>
      </c>
      <c r="D98" t="s">
        <v>34</v>
      </c>
      <c r="E98" t="s">
        <v>292</v>
      </c>
      <c r="F98">
        <v>64.83</v>
      </c>
      <c r="G98" t="s">
        <v>217</v>
      </c>
      <c r="H98">
        <v>2</v>
      </c>
      <c r="I98">
        <v>8</v>
      </c>
      <c r="J98">
        <v>22.847799999999999</v>
      </c>
      <c r="K98">
        <v>2017</v>
      </c>
      <c r="L98">
        <v>10</v>
      </c>
      <c r="M98" s="54">
        <f>AG98+AH98</f>
        <v>1617.4347825999998</v>
      </c>
      <c r="N98">
        <v>1</v>
      </c>
      <c r="O98">
        <v>1</v>
      </c>
      <c r="P98">
        <v>1</v>
      </c>
      <c r="Q98">
        <v>4</v>
      </c>
      <c r="R98">
        <v>5</v>
      </c>
      <c r="S98">
        <v>1</v>
      </c>
      <c r="T98" t="s">
        <v>218</v>
      </c>
      <c r="U98">
        <v>8</v>
      </c>
      <c r="V98">
        <v>83.296794809862291</v>
      </c>
      <c r="X98">
        <v>83.296794809862291</v>
      </c>
      <c r="Y98">
        <v>8</v>
      </c>
      <c r="Z98">
        <v>12.88</v>
      </c>
      <c r="AB98">
        <v>0.21681720398158913</v>
      </c>
      <c r="AC98" s="54">
        <f t="shared" si="2"/>
        <v>14.056259334126423</v>
      </c>
      <c r="AD98">
        <v>22.328425463296732</v>
      </c>
      <c r="AE98" s="54">
        <f t="shared" si="3"/>
        <v>2.2328425463296733</v>
      </c>
      <c r="AG98">
        <v>812</v>
      </c>
      <c r="AH98" s="54">
        <v>805.43478259999995</v>
      </c>
    </row>
    <row r="99" spans="1:34" x14ac:dyDescent="0.25">
      <c r="A99">
        <v>1</v>
      </c>
      <c r="M99" s="54"/>
      <c r="AB99" t="s">
        <v>101</v>
      </c>
      <c r="AC99" s="54" t="e">
        <f t="shared" si="2"/>
        <v>#VALUE!</v>
      </c>
      <c r="AE99" s="54">
        <f t="shared" si="3"/>
        <v>0</v>
      </c>
      <c r="AH99" s="54"/>
    </row>
    <row r="100" spans="1:34" x14ac:dyDescent="0.25">
      <c r="A100">
        <v>1</v>
      </c>
      <c r="B100">
        <v>2017</v>
      </c>
      <c r="C100">
        <v>46</v>
      </c>
      <c r="D100" t="s">
        <v>34</v>
      </c>
      <c r="E100" t="s">
        <v>74</v>
      </c>
      <c r="F100">
        <v>64.83</v>
      </c>
      <c r="G100" t="s">
        <v>217</v>
      </c>
      <c r="H100">
        <v>2</v>
      </c>
      <c r="I100">
        <v>8</v>
      </c>
      <c r="J100">
        <v>22.847799999999999</v>
      </c>
      <c r="K100">
        <v>2017</v>
      </c>
      <c r="L100">
        <v>10</v>
      </c>
      <c r="M100" s="54">
        <f>AG100+AH100</f>
        <v>1617.4347825999998</v>
      </c>
      <c r="N100">
        <v>1</v>
      </c>
      <c r="O100">
        <v>2</v>
      </c>
      <c r="P100">
        <v>1</v>
      </c>
      <c r="Q100">
        <v>4</v>
      </c>
      <c r="R100">
        <v>4</v>
      </c>
      <c r="S100">
        <v>2</v>
      </c>
      <c r="T100" t="s">
        <v>218</v>
      </c>
      <c r="U100">
        <v>5</v>
      </c>
      <c r="V100">
        <v>66.637435847889833</v>
      </c>
      <c r="Y100">
        <v>5</v>
      </c>
      <c r="Z100">
        <v>12.88</v>
      </c>
      <c r="AB100">
        <v>0.21681720398158913</v>
      </c>
      <c r="AC100" s="54">
        <f t="shared" si="2"/>
        <v>14.056259334126423</v>
      </c>
      <c r="AD100">
        <v>14.863189340674317</v>
      </c>
      <c r="AE100" s="54">
        <f t="shared" si="3"/>
        <v>1.4863189340674317</v>
      </c>
      <c r="AG100">
        <v>812</v>
      </c>
      <c r="AH100" s="54">
        <v>805.43478259999995</v>
      </c>
    </row>
    <row r="101" spans="1:34" x14ac:dyDescent="0.25">
      <c r="A101">
        <v>1</v>
      </c>
      <c r="M101" s="54"/>
      <c r="AB101" t="s">
        <v>101</v>
      </c>
      <c r="AC101" s="54" t="e">
        <f t="shared" si="2"/>
        <v>#VALUE!</v>
      </c>
      <c r="AE101" s="54">
        <f t="shared" si="3"/>
        <v>0</v>
      </c>
      <c r="AH101" s="54"/>
    </row>
    <row r="102" spans="1:34" x14ac:dyDescent="0.25">
      <c r="A102">
        <v>1</v>
      </c>
      <c r="B102">
        <v>2017</v>
      </c>
      <c r="C102">
        <v>46</v>
      </c>
      <c r="D102" t="s">
        <v>34</v>
      </c>
      <c r="E102" t="s">
        <v>77</v>
      </c>
      <c r="F102">
        <v>64.83</v>
      </c>
      <c r="G102" t="s">
        <v>217</v>
      </c>
      <c r="H102">
        <v>2</v>
      </c>
      <c r="I102">
        <v>8</v>
      </c>
      <c r="J102">
        <v>22.847799999999999</v>
      </c>
      <c r="K102">
        <v>2017</v>
      </c>
      <c r="L102">
        <v>10</v>
      </c>
      <c r="M102" s="54">
        <f>AG102+AH102</f>
        <v>1617.4347825999998</v>
      </c>
      <c r="N102">
        <v>3</v>
      </c>
      <c r="O102">
        <v>3</v>
      </c>
      <c r="P102">
        <v>1</v>
      </c>
      <c r="Q102">
        <v>4</v>
      </c>
      <c r="R102">
        <v>3</v>
      </c>
      <c r="S102">
        <v>2</v>
      </c>
      <c r="T102" t="s">
        <v>218</v>
      </c>
      <c r="U102">
        <v>2</v>
      </c>
      <c r="V102">
        <v>20</v>
      </c>
      <c r="Y102">
        <v>6</v>
      </c>
      <c r="Z102">
        <v>12.88</v>
      </c>
      <c r="AB102">
        <v>0.21681720398158913</v>
      </c>
      <c r="AC102" s="54">
        <f t="shared" si="2"/>
        <v>14.056259334126423</v>
      </c>
      <c r="AD102">
        <v>14.756161316369168</v>
      </c>
      <c r="AE102" s="54">
        <f t="shared" si="3"/>
        <v>1.4756161316369167</v>
      </c>
      <c r="AG102">
        <v>812</v>
      </c>
      <c r="AH102" s="54">
        <v>805.43478259999995</v>
      </c>
    </row>
    <row r="103" spans="1:34" x14ac:dyDescent="0.25">
      <c r="A103">
        <v>1</v>
      </c>
      <c r="M103" s="54"/>
      <c r="AB103" t="s">
        <v>101</v>
      </c>
      <c r="AC103" s="54" t="e">
        <f t="shared" si="2"/>
        <v>#VALUE!</v>
      </c>
      <c r="AE103" s="54">
        <f t="shared" si="3"/>
        <v>0</v>
      </c>
      <c r="AH103" s="54"/>
    </row>
    <row r="104" spans="1:34" x14ac:dyDescent="0.25">
      <c r="A104">
        <v>1</v>
      </c>
      <c r="B104">
        <v>2017</v>
      </c>
      <c r="C104">
        <v>68</v>
      </c>
      <c r="D104" t="s">
        <v>92</v>
      </c>
      <c r="E104" t="s">
        <v>292</v>
      </c>
      <c r="F104">
        <v>1.18</v>
      </c>
      <c r="G104" t="s">
        <v>98</v>
      </c>
      <c r="H104">
        <v>2</v>
      </c>
      <c r="I104">
        <v>25</v>
      </c>
      <c r="J104">
        <v>20.731999999999999</v>
      </c>
      <c r="K104">
        <v>2017</v>
      </c>
      <c r="L104">
        <v>10</v>
      </c>
      <c r="M104" s="54">
        <f>AG104+AH104</f>
        <v>1692.6956522</v>
      </c>
      <c r="N104">
        <v>1</v>
      </c>
      <c r="O104">
        <v>1</v>
      </c>
      <c r="P104">
        <v>1</v>
      </c>
      <c r="Q104">
        <v>2</v>
      </c>
      <c r="R104">
        <v>5</v>
      </c>
      <c r="S104">
        <v>1</v>
      </c>
      <c r="T104" t="s">
        <v>218</v>
      </c>
      <c r="U104">
        <v>8</v>
      </c>
      <c r="V104">
        <v>54.317758477062306</v>
      </c>
      <c r="X104">
        <v>54.317758477062306</v>
      </c>
      <c r="Y104">
        <v>8</v>
      </c>
      <c r="Z104">
        <v>3.68</v>
      </c>
      <c r="AB104">
        <v>0.21478652417085742</v>
      </c>
      <c r="AC104" s="54">
        <f t="shared" si="2"/>
        <v>0.25344809852161176</v>
      </c>
      <c r="AD104">
        <v>3.8420327621115726</v>
      </c>
      <c r="AE104" s="54">
        <f t="shared" si="3"/>
        <v>0.38420327621115724</v>
      </c>
      <c r="AG104">
        <v>784</v>
      </c>
      <c r="AH104" s="54">
        <v>908.69565220000004</v>
      </c>
    </row>
    <row r="105" spans="1:34" x14ac:dyDescent="0.25">
      <c r="A105">
        <v>1</v>
      </c>
      <c r="M105" s="54"/>
      <c r="AB105" t="s">
        <v>101</v>
      </c>
      <c r="AC105" s="54" t="e">
        <f t="shared" si="2"/>
        <v>#VALUE!</v>
      </c>
      <c r="AE105" s="54">
        <f t="shared" si="3"/>
        <v>0</v>
      </c>
      <c r="AH105" s="54"/>
    </row>
    <row r="106" spans="1:34" x14ac:dyDescent="0.25">
      <c r="A106">
        <v>1</v>
      </c>
      <c r="B106">
        <v>2017</v>
      </c>
      <c r="C106">
        <v>68</v>
      </c>
      <c r="D106" t="s">
        <v>92</v>
      </c>
      <c r="E106" t="s">
        <v>74</v>
      </c>
      <c r="F106">
        <v>1.18</v>
      </c>
      <c r="G106" t="s">
        <v>98</v>
      </c>
      <c r="H106">
        <v>2</v>
      </c>
      <c r="I106">
        <v>25</v>
      </c>
      <c r="J106">
        <v>20.731999999999999</v>
      </c>
      <c r="K106">
        <v>2017</v>
      </c>
      <c r="L106">
        <v>10</v>
      </c>
      <c r="M106" s="54">
        <f>AG106+AH106</f>
        <v>1692.6956522</v>
      </c>
      <c r="N106">
        <v>1</v>
      </c>
      <c r="O106">
        <v>2</v>
      </c>
      <c r="P106">
        <v>1</v>
      </c>
      <c r="Q106">
        <v>2</v>
      </c>
      <c r="R106">
        <v>4</v>
      </c>
      <c r="S106">
        <v>2</v>
      </c>
      <c r="T106" t="s">
        <v>218</v>
      </c>
      <c r="U106">
        <v>5</v>
      </c>
      <c r="V106">
        <v>43.454206781649845</v>
      </c>
      <c r="Y106">
        <v>5</v>
      </c>
      <c r="Z106">
        <v>3.68</v>
      </c>
      <c r="AB106">
        <v>0.21478652417085742</v>
      </c>
      <c r="AC106" s="54">
        <f t="shared" si="2"/>
        <v>0.25344809852161176</v>
      </c>
      <c r="AD106">
        <v>1.2520203756175208</v>
      </c>
      <c r="AE106" s="54">
        <f t="shared" si="3"/>
        <v>0.12520203756175208</v>
      </c>
      <c r="AG106">
        <v>784</v>
      </c>
      <c r="AH106" s="54">
        <v>908.69565220000004</v>
      </c>
    </row>
    <row r="107" spans="1:34" x14ac:dyDescent="0.25">
      <c r="A107">
        <v>1</v>
      </c>
      <c r="M107" s="54"/>
      <c r="AB107" t="s">
        <v>101</v>
      </c>
      <c r="AC107" s="54" t="e">
        <f t="shared" si="2"/>
        <v>#VALUE!</v>
      </c>
      <c r="AE107" s="54">
        <f t="shared" si="3"/>
        <v>0</v>
      </c>
      <c r="AH107" s="54"/>
    </row>
    <row r="108" spans="1:34" x14ac:dyDescent="0.25">
      <c r="A108">
        <v>1</v>
      </c>
      <c r="B108">
        <v>2017</v>
      </c>
      <c r="C108">
        <v>68</v>
      </c>
      <c r="D108" t="s">
        <v>92</v>
      </c>
      <c r="E108" t="s">
        <v>77</v>
      </c>
      <c r="F108">
        <v>1.18</v>
      </c>
      <c r="G108" t="s">
        <v>98</v>
      </c>
      <c r="H108">
        <v>2</v>
      </c>
      <c r="I108">
        <v>25</v>
      </c>
      <c r="J108">
        <v>20.731999999999999</v>
      </c>
      <c r="K108">
        <v>2017</v>
      </c>
      <c r="L108">
        <v>10</v>
      </c>
      <c r="M108" s="54">
        <f>AG108+AH108</f>
        <v>1692.6956522</v>
      </c>
      <c r="N108">
        <v>3</v>
      </c>
      <c r="O108">
        <v>3</v>
      </c>
      <c r="P108">
        <v>1</v>
      </c>
      <c r="Q108">
        <v>2</v>
      </c>
      <c r="R108">
        <v>3</v>
      </c>
      <c r="S108">
        <v>2</v>
      </c>
      <c r="T108" t="s">
        <v>218</v>
      </c>
      <c r="U108">
        <v>2</v>
      </c>
      <c r="V108">
        <v>20</v>
      </c>
      <c r="Y108">
        <v>6</v>
      </c>
      <c r="Z108">
        <v>3.68</v>
      </c>
      <c r="AB108">
        <v>0.21478652417085742</v>
      </c>
      <c r="AC108" s="54">
        <f t="shared" si="2"/>
        <v>0.25344809852161176</v>
      </c>
      <c r="AD108">
        <v>1.1797842380948833</v>
      </c>
      <c r="AE108" s="54">
        <f t="shared" si="3"/>
        <v>0.11797842380948834</v>
      </c>
      <c r="AG108">
        <v>784</v>
      </c>
      <c r="AH108" s="54">
        <v>908.69565220000004</v>
      </c>
    </row>
    <row r="109" spans="1:34" x14ac:dyDescent="0.25">
      <c r="A109">
        <v>1</v>
      </c>
      <c r="M109" s="54"/>
      <c r="AB109" t="s">
        <v>101</v>
      </c>
      <c r="AC109" s="54" t="e">
        <f t="shared" si="2"/>
        <v>#VALUE!</v>
      </c>
      <c r="AE109" s="54">
        <f t="shared" si="3"/>
        <v>0</v>
      </c>
      <c r="AH109" s="54"/>
    </row>
    <row r="110" spans="1:34" x14ac:dyDescent="0.25">
      <c r="A110">
        <v>1</v>
      </c>
      <c r="B110">
        <v>2017</v>
      </c>
      <c r="C110">
        <v>56</v>
      </c>
      <c r="D110" t="s">
        <v>36</v>
      </c>
      <c r="E110" t="s">
        <v>292</v>
      </c>
      <c r="F110">
        <v>22.48</v>
      </c>
      <c r="G110" t="s">
        <v>217</v>
      </c>
      <c r="H110">
        <v>2</v>
      </c>
      <c r="I110">
        <v>9</v>
      </c>
      <c r="J110">
        <v>23.160199999999996</v>
      </c>
      <c r="K110">
        <v>2017</v>
      </c>
      <c r="L110">
        <v>10</v>
      </c>
      <c r="M110" s="54">
        <f>AG110+AH110</f>
        <v>1596.7826086999999</v>
      </c>
      <c r="N110">
        <v>1</v>
      </c>
      <c r="O110">
        <v>1</v>
      </c>
      <c r="P110">
        <v>1</v>
      </c>
      <c r="Q110">
        <v>3</v>
      </c>
      <c r="R110">
        <v>5</v>
      </c>
      <c r="S110">
        <v>1</v>
      </c>
      <c r="T110" t="s">
        <v>218</v>
      </c>
      <c r="U110">
        <v>8</v>
      </c>
      <c r="V110">
        <v>69.311397802045903</v>
      </c>
      <c r="X110">
        <v>69.311397802045903</v>
      </c>
      <c r="Y110">
        <v>8</v>
      </c>
      <c r="Z110">
        <v>19.78</v>
      </c>
      <c r="AB110">
        <v>0.21739444636332686</v>
      </c>
      <c r="AC110" s="54">
        <f t="shared" si="2"/>
        <v>4.8870271542475878</v>
      </c>
      <c r="AD110">
        <v>9.7505802804999995</v>
      </c>
      <c r="AE110" s="54">
        <f t="shared" si="3"/>
        <v>0.97505802804999997</v>
      </c>
      <c r="AG110">
        <v>812</v>
      </c>
      <c r="AH110" s="54">
        <v>784.78260869999997</v>
      </c>
    </row>
    <row r="111" spans="1:34" x14ac:dyDescent="0.25">
      <c r="A111">
        <v>1</v>
      </c>
      <c r="M111" s="54"/>
      <c r="AB111" t="s">
        <v>101</v>
      </c>
      <c r="AC111" s="54" t="e">
        <f t="shared" si="2"/>
        <v>#VALUE!</v>
      </c>
      <c r="AE111" s="54">
        <f t="shared" si="3"/>
        <v>0</v>
      </c>
      <c r="AH111" s="54"/>
    </row>
    <row r="112" spans="1:34" x14ac:dyDescent="0.25">
      <c r="A112">
        <v>1</v>
      </c>
      <c r="B112">
        <v>2017</v>
      </c>
      <c r="C112">
        <v>56</v>
      </c>
      <c r="D112" t="s">
        <v>36</v>
      </c>
      <c r="E112" t="s">
        <v>74</v>
      </c>
      <c r="F112">
        <v>22.48</v>
      </c>
      <c r="G112" t="s">
        <v>217</v>
      </c>
      <c r="H112">
        <v>2</v>
      </c>
      <c r="I112">
        <v>9</v>
      </c>
      <c r="J112">
        <v>23.160199999999996</v>
      </c>
      <c r="K112">
        <v>2017</v>
      </c>
      <c r="L112">
        <v>10</v>
      </c>
      <c r="M112" s="54">
        <f>AG112+AH112</f>
        <v>1596.7826086999999</v>
      </c>
      <c r="N112">
        <v>1</v>
      </c>
      <c r="O112">
        <v>2</v>
      </c>
      <c r="P112">
        <v>1</v>
      </c>
      <c r="Q112">
        <v>3</v>
      </c>
      <c r="R112">
        <v>4</v>
      </c>
      <c r="S112">
        <v>2</v>
      </c>
      <c r="T112" t="s">
        <v>218</v>
      </c>
      <c r="U112">
        <v>5</v>
      </c>
      <c r="V112">
        <v>55.449118241636718</v>
      </c>
      <c r="Y112">
        <v>5</v>
      </c>
      <c r="Z112">
        <v>19.78</v>
      </c>
      <c r="AB112">
        <v>0.21739444636332686</v>
      </c>
      <c r="AC112" s="54">
        <f t="shared" si="2"/>
        <v>4.8870271542475878</v>
      </c>
      <c r="AD112">
        <v>5.8154259124725769</v>
      </c>
      <c r="AE112" s="54">
        <f t="shared" si="3"/>
        <v>0.58154259124725771</v>
      </c>
      <c r="AG112">
        <v>812</v>
      </c>
      <c r="AH112" s="54">
        <v>784.78260869999997</v>
      </c>
    </row>
    <row r="113" spans="1:34" x14ac:dyDescent="0.25">
      <c r="A113">
        <v>1</v>
      </c>
      <c r="M113" s="54"/>
      <c r="AB113" t="s">
        <v>101</v>
      </c>
      <c r="AC113" s="54" t="e">
        <f t="shared" si="2"/>
        <v>#VALUE!</v>
      </c>
      <c r="AE113" s="54">
        <f t="shared" si="3"/>
        <v>0</v>
      </c>
      <c r="AH113" s="54"/>
    </row>
    <row r="114" spans="1:34" x14ac:dyDescent="0.25">
      <c r="A114">
        <v>1</v>
      </c>
      <c r="B114">
        <v>2017</v>
      </c>
      <c r="C114">
        <v>56</v>
      </c>
      <c r="D114" t="s">
        <v>36</v>
      </c>
      <c r="E114" t="s">
        <v>77</v>
      </c>
      <c r="F114">
        <v>22.48</v>
      </c>
      <c r="G114" t="s">
        <v>217</v>
      </c>
      <c r="H114">
        <v>2</v>
      </c>
      <c r="I114">
        <v>9</v>
      </c>
      <c r="J114">
        <v>23.160199999999996</v>
      </c>
      <c r="K114">
        <v>2017</v>
      </c>
      <c r="L114">
        <v>10</v>
      </c>
      <c r="M114" s="54">
        <f>AG114+AH114</f>
        <v>1596.7826086999999</v>
      </c>
      <c r="N114">
        <v>3</v>
      </c>
      <c r="O114">
        <v>3</v>
      </c>
      <c r="P114">
        <v>1</v>
      </c>
      <c r="Q114">
        <v>3</v>
      </c>
      <c r="R114">
        <v>3</v>
      </c>
      <c r="S114">
        <v>2</v>
      </c>
      <c r="T114" t="s">
        <v>218</v>
      </c>
      <c r="U114">
        <v>2</v>
      </c>
      <c r="V114">
        <v>20</v>
      </c>
      <c r="Y114">
        <v>6</v>
      </c>
      <c r="Z114">
        <v>19.78</v>
      </c>
      <c r="AB114">
        <v>0.21739444636332686</v>
      </c>
      <c r="AC114" s="54">
        <f t="shared" si="2"/>
        <v>4.8870271542475878</v>
      </c>
      <c r="AD114">
        <v>5.796953507311474</v>
      </c>
      <c r="AE114" s="54">
        <f t="shared" si="3"/>
        <v>0.57969535073114742</v>
      </c>
      <c r="AG114">
        <v>812</v>
      </c>
      <c r="AH114" s="54">
        <v>784.78260869999997</v>
      </c>
    </row>
    <row r="115" spans="1:34" x14ac:dyDescent="0.25">
      <c r="A115">
        <v>1</v>
      </c>
      <c r="M115" s="54"/>
      <c r="AB115" t="s">
        <v>101</v>
      </c>
      <c r="AC115" s="54" t="e">
        <f t="shared" si="2"/>
        <v>#VALUE!</v>
      </c>
      <c r="AE115" s="54">
        <f t="shared" si="3"/>
        <v>0</v>
      </c>
      <c r="AH115" s="54"/>
    </row>
    <row r="116" spans="1:34" x14ac:dyDescent="0.25">
      <c r="A116">
        <v>1</v>
      </c>
      <c r="B116">
        <v>2017</v>
      </c>
      <c r="C116">
        <v>7</v>
      </c>
      <c r="D116" t="s">
        <v>37</v>
      </c>
      <c r="E116" t="s">
        <v>292</v>
      </c>
      <c r="F116">
        <v>17.03</v>
      </c>
      <c r="G116" t="s">
        <v>217</v>
      </c>
      <c r="H116">
        <v>2</v>
      </c>
      <c r="I116">
        <v>5</v>
      </c>
      <c r="J116">
        <v>22.72</v>
      </c>
      <c r="K116">
        <v>2017</v>
      </c>
      <c r="L116">
        <v>10</v>
      </c>
      <c r="M116" s="54">
        <f>AG116+AH116</f>
        <v>1672.7826086999999</v>
      </c>
      <c r="N116">
        <v>1</v>
      </c>
      <c r="O116">
        <v>1</v>
      </c>
      <c r="P116">
        <v>1</v>
      </c>
      <c r="Q116">
        <v>4</v>
      </c>
      <c r="R116">
        <v>5</v>
      </c>
      <c r="S116">
        <v>1</v>
      </c>
      <c r="T116" t="s">
        <v>218</v>
      </c>
      <c r="U116">
        <v>8</v>
      </c>
      <c r="V116">
        <v>74.829751797288736</v>
      </c>
      <c r="X116">
        <v>74.829751797288736</v>
      </c>
      <c r="Y116">
        <v>8</v>
      </c>
      <c r="Z116">
        <v>16.100000000000001</v>
      </c>
      <c r="AB116">
        <v>0.2153130567085472</v>
      </c>
      <c r="AC116" s="54">
        <f t="shared" si="2"/>
        <v>3.6667813557465592</v>
      </c>
      <c r="AD116">
        <v>7.4313794517475467</v>
      </c>
      <c r="AE116" s="54">
        <f t="shared" si="3"/>
        <v>0.74313794517475462</v>
      </c>
      <c r="AG116">
        <v>888</v>
      </c>
      <c r="AH116" s="54">
        <v>784.78260869999997</v>
      </c>
    </row>
    <row r="117" spans="1:34" x14ac:dyDescent="0.25">
      <c r="A117">
        <v>1</v>
      </c>
      <c r="M117" s="54"/>
      <c r="AB117" t="s">
        <v>101</v>
      </c>
      <c r="AC117" s="54" t="e">
        <f t="shared" si="2"/>
        <v>#VALUE!</v>
      </c>
      <c r="AE117" s="54">
        <f t="shared" si="3"/>
        <v>0</v>
      </c>
      <c r="AH117" s="54"/>
    </row>
    <row r="118" spans="1:34" x14ac:dyDescent="0.25">
      <c r="A118">
        <v>1</v>
      </c>
      <c r="B118">
        <v>2017</v>
      </c>
      <c r="C118">
        <v>7</v>
      </c>
      <c r="D118" t="s">
        <v>37</v>
      </c>
      <c r="E118" t="s">
        <v>74</v>
      </c>
      <c r="F118">
        <v>17.03</v>
      </c>
      <c r="G118" t="s">
        <v>217</v>
      </c>
      <c r="H118">
        <v>2</v>
      </c>
      <c r="I118">
        <v>5</v>
      </c>
      <c r="J118">
        <v>22.72</v>
      </c>
      <c r="K118">
        <v>2017</v>
      </c>
      <c r="L118">
        <v>10</v>
      </c>
      <c r="M118" s="54">
        <f>AG118+AH118</f>
        <v>1672.7826086999999</v>
      </c>
      <c r="N118">
        <v>1</v>
      </c>
      <c r="O118">
        <v>2</v>
      </c>
      <c r="P118">
        <v>1</v>
      </c>
      <c r="Q118">
        <v>4</v>
      </c>
      <c r="R118">
        <v>4</v>
      </c>
      <c r="S118">
        <v>2</v>
      </c>
      <c r="T118" t="s">
        <v>218</v>
      </c>
      <c r="U118">
        <v>5</v>
      </c>
      <c r="V118">
        <v>59.863801437830993</v>
      </c>
      <c r="Y118">
        <v>5</v>
      </c>
      <c r="Z118">
        <v>16.100000000000001</v>
      </c>
      <c r="AB118">
        <v>0.2153130567085472</v>
      </c>
      <c r="AC118" s="54">
        <f t="shared" si="2"/>
        <v>3.6667813557465592</v>
      </c>
      <c r="AD118">
        <v>3.9144095905942295</v>
      </c>
      <c r="AE118" s="54">
        <f t="shared" si="3"/>
        <v>0.39144095905942294</v>
      </c>
      <c r="AG118">
        <v>888</v>
      </c>
      <c r="AH118" s="54">
        <v>784.78260869999997</v>
      </c>
    </row>
    <row r="119" spans="1:34" x14ac:dyDescent="0.25">
      <c r="A119">
        <v>1</v>
      </c>
      <c r="M119" s="54"/>
      <c r="AB119" t="s">
        <v>101</v>
      </c>
      <c r="AC119" s="54" t="e">
        <f t="shared" si="2"/>
        <v>#VALUE!</v>
      </c>
      <c r="AE119" s="54">
        <f t="shared" si="3"/>
        <v>0</v>
      </c>
      <c r="AH119" s="54"/>
    </row>
    <row r="120" spans="1:34" x14ac:dyDescent="0.25">
      <c r="A120">
        <v>1</v>
      </c>
      <c r="B120">
        <v>2017</v>
      </c>
      <c r="C120">
        <v>7</v>
      </c>
      <c r="D120" t="s">
        <v>37</v>
      </c>
      <c r="E120" t="s">
        <v>77</v>
      </c>
      <c r="F120">
        <v>17.03</v>
      </c>
      <c r="G120" t="s">
        <v>217</v>
      </c>
      <c r="H120">
        <v>2</v>
      </c>
      <c r="I120">
        <v>5</v>
      </c>
      <c r="J120">
        <v>22.72</v>
      </c>
      <c r="K120">
        <v>2017</v>
      </c>
      <c r="L120">
        <v>10</v>
      </c>
      <c r="M120" s="54">
        <f>AG120+AH120</f>
        <v>1672.7826086999999</v>
      </c>
      <c r="N120">
        <v>3</v>
      </c>
      <c r="O120">
        <v>3</v>
      </c>
      <c r="P120">
        <v>1</v>
      </c>
      <c r="Q120">
        <v>4</v>
      </c>
      <c r="R120">
        <v>3</v>
      </c>
      <c r="S120">
        <v>2</v>
      </c>
      <c r="T120" t="s">
        <v>218</v>
      </c>
      <c r="U120">
        <v>2</v>
      </c>
      <c r="V120">
        <v>20</v>
      </c>
      <c r="Y120">
        <v>6</v>
      </c>
      <c r="Z120">
        <v>16.100000000000001</v>
      </c>
      <c r="AB120">
        <v>0.2153130567085472</v>
      </c>
      <c r="AC120" s="54">
        <f t="shared" si="2"/>
        <v>3.6667813557465592</v>
      </c>
      <c r="AD120">
        <v>3.6757174242013759</v>
      </c>
      <c r="AE120" s="54">
        <f t="shared" si="3"/>
        <v>0.36757174242013757</v>
      </c>
      <c r="AG120">
        <v>888</v>
      </c>
      <c r="AH120" s="54">
        <v>784.78260869999997</v>
      </c>
    </row>
    <row r="121" spans="1:34" x14ac:dyDescent="0.25">
      <c r="A121">
        <v>1</v>
      </c>
      <c r="M121" s="54"/>
      <c r="AB121" t="s">
        <v>101</v>
      </c>
      <c r="AC121" s="54" t="e">
        <f t="shared" si="2"/>
        <v>#VALUE!</v>
      </c>
      <c r="AE121" s="54">
        <f t="shared" si="3"/>
        <v>0</v>
      </c>
      <c r="AH121" s="54"/>
    </row>
    <row r="122" spans="1:34" x14ac:dyDescent="0.25">
      <c r="A122">
        <v>1</v>
      </c>
      <c r="B122">
        <v>2017</v>
      </c>
      <c r="C122">
        <v>64</v>
      </c>
      <c r="D122" t="s">
        <v>38</v>
      </c>
      <c r="E122" t="s">
        <v>292</v>
      </c>
      <c r="F122">
        <v>62.05</v>
      </c>
      <c r="G122" t="s">
        <v>98</v>
      </c>
      <c r="H122">
        <v>3</v>
      </c>
      <c r="I122">
        <v>4</v>
      </c>
      <c r="J122">
        <v>25.2334</v>
      </c>
      <c r="K122">
        <v>2017</v>
      </c>
      <c r="L122">
        <v>10</v>
      </c>
      <c r="M122" s="54">
        <f>AG122+AH122</f>
        <v>1616.1739130000001</v>
      </c>
      <c r="N122">
        <v>1</v>
      </c>
      <c r="O122">
        <v>1</v>
      </c>
      <c r="P122">
        <v>1</v>
      </c>
      <c r="Q122">
        <v>4</v>
      </c>
      <c r="R122">
        <v>5</v>
      </c>
      <c r="S122">
        <v>1</v>
      </c>
      <c r="T122" t="s">
        <v>218</v>
      </c>
      <c r="U122">
        <v>8</v>
      </c>
      <c r="V122">
        <v>71.553549749031987</v>
      </c>
      <c r="X122">
        <v>71.553549749031987</v>
      </c>
      <c r="Y122">
        <v>8</v>
      </c>
      <c r="Z122">
        <v>17.02</v>
      </c>
      <c r="AB122">
        <v>0.2168521906021704</v>
      </c>
      <c r="AC122" s="54">
        <f t="shared" si="2"/>
        <v>13.455678426864672</v>
      </c>
      <c r="AD122">
        <v>19.792856665563125</v>
      </c>
      <c r="AE122" s="54">
        <f t="shared" si="3"/>
        <v>1.9792856665563126</v>
      </c>
      <c r="AG122">
        <v>914</v>
      </c>
      <c r="AH122" s="54">
        <v>702.17391299999997</v>
      </c>
    </row>
    <row r="123" spans="1:34" x14ac:dyDescent="0.25">
      <c r="A123">
        <v>1</v>
      </c>
      <c r="M123" s="54"/>
      <c r="AB123" t="s">
        <v>101</v>
      </c>
      <c r="AC123" s="54" t="e">
        <f t="shared" si="2"/>
        <v>#VALUE!</v>
      </c>
      <c r="AE123" s="54">
        <f t="shared" si="3"/>
        <v>0</v>
      </c>
      <c r="AH123" s="54"/>
    </row>
    <row r="124" spans="1:34" x14ac:dyDescent="0.25">
      <c r="A124">
        <v>1</v>
      </c>
      <c r="B124">
        <v>2017</v>
      </c>
      <c r="C124">
        <v>64</v>
      </c>
      <c r="D124" t="s">
        <v>38</v>
      </c>
      <c r="E124" t="s">
        <v>74</v>
      </c>
      <c r="F124">
        <v>62.05</v>
      </c>
      <c r="G124" t="s">
        <v>98</v>
      </c>
      <c r="H124">
        <v>3</v>
      </c>
      <c r="I124">
        <v>4</v>
      </c>
      <c r="J124">
        <v>25.2334</v>
      </c>
      <c r="K124">
        <v>2017</v>
      </c>
      <c r="L124">
        <v>10</v>
      </c>
      <c r="M124" s="54">
        <f>AG124+AH124</f>
        <v>1616.1739130000001</v>
      </c>
      <c r="N124">
        <v>1</v>
      </c>
      <c r="O124">
        <v>2</v>
      </c>
      <c r="P124">
        <v>1</v>
      </c>
      <c r="Q124">
        <v>4</v>
      </c>
      <c r="R124">
        <v>4</v>
      </c>
      <c r="S124">
        <v>2</v>
      </c>
      <c r="T124" t="s">
        <v>218</v>
      </c>
      <c r="U124">
        <v>5</v>
      </c>
      <c r="V124">
        <v>57.242839799225592</v>
      </c>
      <c r="Y124">
        <v>5</v>
      </c>
      <c r="Z124">
        <v>17.02</v>
      </c>
      <c r="AB124">
        <v>0.2168521906021704</v>
      </c>
      <c r="AC124" s="54">
        <f t="shared" si="2"/>
        <v>13.455678426864672</v>
      </c>
      <c r="AD124">
        <v>12.116799035051461</v>
      </c>
      <c r="AE124" s="54">
        <f t="shared" si="3"/>
        <v>1.211679903505146</v>
      </c>
      <c r="AG124">
        <v>914</v>
      </c>
      <c r="AH124" s="54">
        <v>702.17391299999997</v>
      </c>
    </row>
    <row r="125" spans="1:34" x14ac:dyDescent="0.25">
      <c r="A125">
        <v>1</v>
      </c>
      <c r="M125" s="54"/>
      <c r="AB125" t="s">
        <v>101</v>
      </c>
      <c r="AC125" s="54" t="e">
        <f t="shared" si="2"/>
        <v>#VALUE!</v>
      </c>
      <c r="AE125" s="54">
        <f t="shared" si="3"/>
        <v>0</v>
      </c>
      <c r="AH125" s="54"/>
    </row>
    <row r="126" spans="1:34" x14ac:dyDescent="0.25">
      <c r="A126">
        <v>1</v>
      </c>
      <c r="B126">
        <v>2017</v>
      </c>
      <c r="C126">
        <v>64</v>
      </c>
      <c r="D126" t="s">
        <v>38</v>
      </c>
      <c r="E126" t="s">
        <v>77</v>
      </c>
      <c r="F126">
        <v>62.05</v>
      </c>
      <c r="G126" t="s">
        <v>98</v>
      </c>
      <c r="H126">
        <v>3</v>
      </c>
      <c r="I126">
        <v>4</v>
      </c>
      <c r="J126">
        <v>25.2334</v>
      </c>
      <c r="K126">
        <v>2017</v>
      </c>
      <c r="L126">
        <v>10</v>
      </c>
      <c r="M126" s="54">
        <f>AG126+AH126</f>
        <v>1616.1739130000001</v>
      </c>
      <c r="N126">
        <v>3</v>
      </c>
      <c r="O126">
        <v>3</v>
      </c>
      <c r="P126">
        <v>1</v>
      </c>
      <c r="Q126">
        <v>4</v>
      </c>
      <c r="R126">
        <v>3</v>
      </c>
      <c r="S126">
        <v>2</v>
      </c>
      <c r="T126" t="s">
        <v>218</v>
      </c>
      <c r="U126">
        <v>2</v>
      </c>
      <c r="V126">
        <v>20</v>
      </c>
      <c r="Y126">
        <v>6</v>
      </c>
      <c r="Z126">
        <v>17.02</v>
      </c>
      <c r="AB126">
        <v>0.2168521906021704</v>
      </c>
      <c r="AC126" s="54">
        <f t="shared" si="2"/>
        <v>13.455678426864672</v>
      </c>
      <c r="AD126">
        <v>11.369693645291777</v>
      </c>
      <c r="AE126" s="54">
        <f t="shared" si="3"/>
        <v>1.1369693645291776</v>
      </c>
      <c r="AG126">
        <v>914</v>
      </c>
      <c r="AH126" s="54">
        <v>702.17391299999997</v>
      </c>
    </row>
    <row r="127" spans="1:34" x14ac:dyDescent="0.25">
      <c r="A127">
        <v>1</v>
      </c>
      <c r="M127" s="54"/>
      <c r="AB127" t="s">
        <v>101</v>
      </c>
      <c r="AC127" s="54" t="e">
        <f t="shared" si="2"/>
        <v>#VALUE!</v>
      </c>
      <c r="AE127" s="54">
        <f t="shared" si="3"/>
        <v>0</v>
      </c>
      <c r="AH127" s="54"/>
    </row>
    <row r="128" spans="1:34" x14ac:dyDescent="0.25">
      <c r="A128">
        <v>1</v>
      </c>
      <c r="B128">
        <v>2017</v>
      </c>
      <c r="C128">
        <v>10</v>
      </c>
      <c r="D128" t="s">
        <v>39</v>
      </c>
      <c r="E128" t="s">
        <v>292</v>
      </c>
      <c r="F128">
        <v>58.37</v>
      </c>
      <c r="G128" t="s">
        <v>217</v>
      </c>
      <c r="H128">
        <v>1</v>
      </c>
      <c r="I128">
        <v>9</v>
      </c>
      <c r="J128">
        <v>25.765899999999998</v>
      </c>
      <c r="K128">
        <v>2017</v>
      </c>
      <c r="L128">
        <v>10</v>
      </c>
      <c r="M128" s="54">
        <f>AG128+AH128</f>
        <v>1400.8695652000001</v>
      </c>
      <c r="N128">
        <v>1</v>
      </c>
      <c r="O128">
        <v>1</v>
      </c>
      <c r="P128">
        <v>1</v>
      </c>
      <c r="Q128">
        <v>3</v>
      </c>
      <c r="R128">
        <v>5</v>
      </c>
      <c r="S128">
        <v>1</v>
      </c>
      <c r="T128" t="s">
        <v>218</v>
      </c>
      <c r="U128">
        <v>8</v>
      </c>
      <c r="V128">
        <v>66.077820512656615</v>
      </c>
      <c r="X128">
        <v>66.077820512656615</v>
      </c>
      <c r="Y128">
        <v>8</v>
      </c>
      <c r="Z128">
        <v>19.32</v>
      </c>
      <c r="AB128">
        <v>0.22336252778138957</v>
      </c>
      <c r="AC128" s="54">
        <f t="shared" si="2"/>
        <v>13.037670746599709</v>
      </c>
      <c r="AD128">
        <v>21.711825702693151</v>
      </c>
      <c r="AE128" s="54">
        <f t="shared" si="3"/>
        <v>2.1711825702693153</v>
      </c>
      <c r="AG128">
        <v>740</v>
      </c>
      <c r="AH128" s="54">
        <v>660.86956520000001</v>
      </c>
    </row>
    <row r="129" spans="1:34" x14ac:dyDescent="0.25">
      <c r="A129">
        <v>1</v>
      </c>
      <c r="M129" s="54"/>
      <c r="AB129" t="s">
        <v>101</v>
      </c>
      <c r="AC129" s="54" t="e">
        <f t="shared" si="2"/>
        <v>#VALUE!</v>
      </c>
      <c r="AE129" s="54">
        <f t="shared" si="3"/>
        <v>0</v>
      </c>
      <c r="AH129" s="54"/>
    </row>
    <row r="130" spans="1:34" x14ac:dyDescent="0.25">
      <c r="A130">
        <v>1</v>
      </c>
      <c r="B130">
        <v>2017</v>
      </c>
      <c r="C130">
        <v>10</v>
      </c>
      <c r="D130" t="s">
        <v>39</v>
      </c>
      <c r="E130" t="s">
        <v>74</v>
      </c>
      <c r="F130">
        <v>58.37</v>
      </c>
      <c r="G130" t="s">
        <v>217</v>
      </c>
      <c r="H130">
        <v>1</v>
      </c>
      <c r="I130">
        <v>9</v>
      </c>
      <c r="J130">
        <v>25.765899999999998</v>
      </c>
      <c r="K130">
        <v>2017</v>
      </c>
      <c r="L130">
        <v>10</v>
      </c>
      <c r="M130" s="54">
        <f>AG130+AH130</f>
        <v>1400.8695652000001</v>
      </c>
      <c r="N130">
        <v>1</v>
      </c>
      <c r="O130">
        <v>2</v>
      </c>
      <c r="P130">
        <v>1</v>
      </c>
      <c r="Q130">
        <v>3</v>
      </c>
      <c r="R130">
        <v>4</v>
      </c>
      <c r="S130">
        <v>2</v>
      </c>
      <c r="T130" t="s">
        <v>218</v>
      </c>
      <c r="U130">
        <v>5</v>
      </c>
      <c r="V130">
        <v>52.862256410125298</v>
      </c>
      <c r="Y130">
        <v>5</v>
      </c>
      <c r="Z130">
        <v>19.32</v>
      </c>
      <c r="AB130">
        <v>0.22336252778138957</v>
      </c>
      <c r="AC130" s="54">
        <f t="shared" si="2"/>
        <v>13.037670746599709</v>
      </c>
      <c r="AD130">
        <v>14.641743190104773</v>
      </c>
      <c r="AE130" s="54">
        <f t="shared" si="3"/>
        <v>1.4641743190104772</v>
      </c>
      <c r="AG130">
        <v>740</v>
      </c>
      <c r="AH130" s="54">
        <v>660.86956520000001</v>
      </c>
    </row>
    <row r="131" spans="1:34" x14ac:dyDescent="0.25">
      <c r="A131">
        <v>1</v>
      </c>
      <c r="M131" s="54"/>
      <c r="AB131" t="s">
        <v>101</v>
      </c>
      <c r="AC131" s="54" t="e">
        <f t="shared" ref="AC131:AC180" si="4">F131*AB131</f>
        <v>#VALUE!</v>
      </c>
      <c r="AE131" s="54">
        <f t="shared" ref="AE131:AE180" si="5">AD131/10</f>
        <v>0</v>
      </c>
      <c r="AH131" s="54"/>
    </row>
    <row r="132" spans="1:34" x14ac:dyDescent="0.25">
      <c r="A132">
        <v>1</v>
      </c>
      <c r="B132">
        <v>2017</v>
      </c>
      <c r="C132">
        <v>10</v>
      </c>
      <c r="D132" t="s">
        <v>39</v>
      </c>
      <c r="E132" t="s">
        <v>77</v>
      </c>
      <c r="F132">
        <v>58.37</v>
      </c>
      <c r="G132" t="s">
        <v>217</v>
      </c>
      <c r="H132">
        <v>1</v>
      </c>
      <c r="I132">
        <v>9</v>
      </c>
      <c r="J132">
        <v>25.765899999999998</v>
      </c>
      <c r="K132">
        <v>2017</v>
      </c>
      <c r="L132">
        <v>10</v>
      </c>
      <c r="M132" s="54">
        <f>AG132+AH132</f>
        <v>1400.8695652000001</v>
      </c>
      <c r="N132">
        <v>3</v>
      </c>
      <c r="O132">
        <v>3</v>
      </c>
      <c r="P132">
        <v>1</v>
      </c>
      <c r="Q132">
        <v>3</v>
      </c>
      <c r="R132">
        <v>3</v>
      </c>
      <c r="S132">
        <v>2</v>
      </c>
      <c r="T132" t="s">
        <v>218</v>
      </c>
      <c r="U132">
        <v>2</v>
      </c>
      <c r="V132">
        <v>20</v>
      </c>
      <c r="Y132">
        <v>6</v>
      </c>
      <c r="Z132">
        <v>19.32</v>
      </c>
      <c r="AB132">
        <v>0.22336252778138957</v>
      </c>
      <c r="AC132" s="54">
        <f t="shared" si="4"/>
        <v>13.037670746599709</v>
      </c>
      <c r="AD132">
        <v>14.488813000368763</v>
      </c>
      <c r="AE132" s="54">
        <f t="shared" si="5"/>
        <v>1.4488813000368763</v>
      </c>
      <c r="AG132">
        <v>740</v>
      </c>
      <c r="AH132" s="54">
        <v>660.86956520000001</v>
      </c>
    </row>
    <row r="133" spans="1:34" x14ac:dyDescent="0.25">
      <c r="A133">
        <v>1</v>
      </c>
      <c r="M133" s="54"/>
      <c r="AB133" t="s">
        <v>101</v>
      </c>
      <c r="AC133" s="54" t="e">
        <f t="shared" si="4"/>
        <v>#VALUE!</v>
      </c>
      <c r="AE133" s="54">
        <f t="shared" si="5"/>
        <v>0</v>
      </c>
      <c r="AH133" s="54"/>
    </row>
    <row r="134" spans="1:34" x14ac:dyDescent="0.25">
      <c r="A134">
        <v>1</v>
      </c>
      <c r="B134">
        <v>2017</v>
      </c>
      <c r="C134">
        <v>25</v>
      </c>
      <c r="D134" t="s">
        <v>40</v>
      </c>
      <c r="E134" t="s">
        <v>292</v>
      </c>
      <c r="F134">
        <v>121.12</v>
      </c>
      <c r="G134" t="s">
        <v>217</v>
      </c>
      <c r="H134">
        <v>2</v>
      </c>
      <c r="I134">
        <v>3</v>
      </c>
      <c r="J134">
        <v>23.330599999999997</v>
      </c>
      <c r="K134">
        <v>2017</v>
      </c>
      <c r="L134">
        <v>10</v>
      </c>
      <c r="M134" s="54">
        <f>AG134+AH134</f>
        <v>1144.6956522</v>
      </c>
      <c r="N134">
        <v>1</v>
      </c>
      <c r="O134">
        <v>1</v>
      </c>
      <c r="P134">
        <v>1</v>
      </c>
      <c r="Q134">
        <v>4</v>
      </c>
      <c r="R134">
        <v>5</v>
      </c>
      <c r="S134">
        <v>1</v>
      </c>
      <c r="T134" t="s">
        <v>218</v>
      </c>
      <c r="U134">
        <v>8</v>
      </c>
      <c r="V134">
        <v>81.129118977449139</v>
      </c>
      <c r="X134">
        <v>81.129118977449139</v>
      </c>
      <c r="Y134">
        <v>8</v>
      </c>
      <c r="Z134">
        <v>50.6</v>
      </c>
      <c r="AB134">
        <v>0.23289332006566729</v>
      </c>
      <c r="AC134" s="54">
        <f t="shared" si="4"/>
        <v>28.208038926353623</v>
      </c>
      <c r="AD134">
        <v>32.027663462462989</v>
      </c>
      <c r="AE134" s="54">
        <f t="shared" si="5"/>
        <v>3.2027663462462987</v>
      </c>
      <c r="AG134">
        <v>711</v>
      </c>
      <c r="AH134" s="54">
        <v>433.69565219999998</v>
      </c>
    </row>
    <row r="135" spans="1:34" x14ac:dyDescent="0.25">
      <c r="A135">
        <v>1</v>
      </c>
      <c r="M135" s="54"/>
      <c r="AB135" t="s">
        <v>101</v>
      </c>
      <c r="AC135" s="54" t="e">
        <f t="shared" si="4"/>
        <v>#VALUE!</v>
      </c>
      <c r="AE135" s="54">
        <f t="shared" si="5"/>
        <v>0</v>
      </c>
      <c r="AH135" s="54"/>
    </row>
    <row r="136" spans="1:34" x14ac:dyDescent="0.25">
      <c r="A136">
        <v>1</v>
      </c>
      <c r="B136">
        <v>2017</v>
      </c>
      <c r="C136">
        <v>25</v>
      </c>
      <c r="D136" t="s">
        <v>40</v>
      </c>
      <c r="E136" t="s">
        <v>74</v>
      </c>
      <c r="F136">
        <v>121.12</v>
      </c>
      <c r="G136" t="s">
        <v>217</v>
      </c>
      <c r="H136">
        <v>2</v>
      </c>
      <c r="I136">
        <v>3</v>
      </c>
      <c r="J136">
        <v>23.330599999999997</v>
      </c>
      <c r="K136">
        <v>2017</v>
      </c>
      <c r="L136">
        <v>10</v>
      </c>
      <c r="M136" s="54">
        <f>AG136+AH136</f>
        <v>1144.6956522</v>
      </c>
      <c r="N136">
        <v>1</v>
      </c>
      <c r="O136">
        <v>2</v>
      </c>
      <c r="P136">
        <v>1</v>
      </c>
      <c r="Q136">
        <v>4</v>
      </c>
      <c r="R136">
        <v>4</v>
      </c>
      <c r="S136">
        <v>2</v>
      </c>
      <c r="T136" t="s">
        <v>218</v>
      </c>
      <c r="U136">
        <v>5</v>
      </c>
      <c r="V136">
        <v>64.903295181959308</v>
      </c>
      <c r="Y136">
        <v>5</v>
      </c>
      <c r="Z136">
        <v>50.6</v>
      </c>
      <c r="AB136">
        <v>0.23289332006566729</v>
      </c>
      <c r="AC136" s="54">
        <f t="shared" si="4"/>
        <v>28.208038926353623</v>
      </c>
      <c r="AD136">
        <v>21.660630802370321</v>
      </c>
      <c r="AE136" s="54">
        <f t="shared" si="5"/>
        <v>2.166063080237032</v>
      </c>
      <c r="AG136">
        <v>711</v>
      </c>
      <c r="AH136" s="54">
        <v>433.69565219999998</v>
      </c>
    </row>
    <row r="137" spans="1:34" x14ac:dyDescent="0.25">
      <c r="A137">
        <v>1</v>
      </c>
      <c r="M137" s="54"/>
      <c r="AB137" t="s">
        <v>101</v>
      </c>
      <c r="AC137" s="54" t="e">
        <f t="shared" si="4"/>
        <v>#VALUE!</v>
      </c>
      <c r="AE137" s="54">
        <f t="shared" si="5"/>
        <v>0</v>
      </c>
      <c r="AH137" s="54"/>
    </row>
    <row r="138" spans="1:34" x14ac:dyDescent="0.25">
      <c r="A138">
        <v>1</v>
      </c>
      <c r="B138">
        <v>2017</v>
      </c>
      <c r="C138">
        <v>25</v>
      </c>
      <c r="D138" t="s">
        <v>40</v>
      </c>
      <c r="E138" t="s">
        <v>77</v>
      </c>
      <c r="F138">
        <v>121.12</v>
      </c>
      <c r="G138" t="s">
        <v>217</v>
      </c>
      <c r="H138">
        <v>2</v>
      </c>
      <c r="I138">
        <v>3</v>
      </c>
      <c r="J138">
        <v>23.330599999999997</v>
      </c>
      <c r="K138">
        <v>2017</v>
      </c>
      <c r="L138">
        <v>10</v>
      </c>
      <c r="M138" s="54">
        <f>AG138+AH138</f>
        <v>1144.6956522</v>
      </c>
      <c r="N138">
        <v>3</v>
      </c>
      <c r="O138">
        <v>3</v>
      </c>
      <c r="P138">
        <v>1</v>
      </c>
      <c r="Q138">
        <v>4</v>
      </c>
      <c r="R138">
        <v>3</v>
      </c>
      <c r="S138">
        <v>2</v>
      </c>
      <c r="T138" t="s">
        <v>218</v>
      </c>
      <c r="U138">
        <v>2</v>
      </c>
      <c r="V138">
        <v>20</v>
      </c>
      <c r="Y138">
        <v>6</v>
      </c>
      <c r="Z138">
        <v>50.6</v>
      </c>
      <c r="AB138">
        <v>0.23289332006566729</v>
      </c>
      <c r="AC138" s="54">
        <f t="shared" si="4"/>
        <v>28.208038926353623</v>
      </c>
      <c r="AD138">
        <v>21.177590224831011</v>
      </c>
      <c r="AE138" s="54">
        <f t="shared" si="5"/>
        <v>2.1177590224831011</v>
      </c>
      <c r="AG138">
        <v>711</v>
      </c>
      <c r="AH138" s="54">
        <v>433.69565219999998</v>
      </c>
    </row>
    <row r="139" spans="1:34" x14ac:dyDescent="0.25">
      <c r="A139">
        <v>1</v>
      </c>
      <c r="M139" s="54"/>
      <c r="AB139" t="s">
        <v>101</v>
      </c>
      <c r="AC139" s="54" t="e">
        <f t="shared" si="4"/>
        <v>#VALUE!</v>
      </c>
      <c r="AE139" s="54">
        <f t="shared" si="5"/>
        <v>0</v>
      </c>
      <c r="AH139" s="54"/>
    </row>
    <row r="140" spans="1:34" x14ac:dyDescent="0.25">
      <c r="A140">
        <v>1</v>
      </c>
      <c r="B140">
        <v>2017</v>
      </c>
      <c r="C140">
        <v>34</v>
      </c>
      <c r="D140" t="s">
        <v>41</v>
      </c>
      <c r="E140" t="s">
        <v>292</v>
      </c>
      <c r="F140">
        <v>23.24</v>
      </c>
      <c r="G140" t="s">
        <v>217</v>
      </c>
      <c r="H140">
        <v>3</v>
      </c>
      <c r="I140">
        <v>6</v>
      </c>
      <c r="J140">
        <v>20.263399999999997</v>
      </c>
      <c r="K140">
        <v>2017</v>
      </c>
      <c r="L140">
        <v>10</v>
      </c>
      <c r="M140" s="54">
        <f>AG140+AH140</f>
        <v>1861.3478261</v>
      </c>
      <c r="N140">
        <v>1</v>
      </c>
      <c r="O140">
        <v>1</v>
      </c>
      <c r="P140">
        <v>1</v>
      </c>
      <c r="Q140">
        <v>4</v>
      </c>
      <c r="R140">
        <v>5</v>
      </c>
      <c r="S140">
        <v>1</v>
      </c>
      <c r="T140" t="s">
        <v>218</v>
      </c>
      <c r="U140">
        <v>8</v>
      </c>
      <c r="V140">
        <v>100.53815397832226</v>
      </c>
      <c r="X140">
        <v>100.53815397832226</v>
      </c>
      <c r="Y140">
        <v>8</v>
      </c>
      <c r="Z140">
        <v>11.04</v>
      </c>
      <c r="AB140">
        <v>0.21060694222924511</v>
      </c>
      <c r="AC140" s="54">
        <f t="shared" si="4"/>
        <v>4.8945053374076561</v>
      </c>
      <c r="AD140">
        <v>9.4428551979494966</v>
      </c>
      <c r="AE140" s="54">
        <f t="shared" si="5"/>
        <v>0.94428551979494968</v>
      </c>
      <c r="AG140">
        <v>932</v>
      </c>
      <c r="AH140" s="54">
        <v>929.34782610000002</v>
      </c>
    </row>
    <row r="141" spans="1:34" x14ac:dyDescent="0.25">
      <c r="A141">
        <v>1</v>
      </c>
      <c r="M141" s="54"/>
      <c r="AB141" t="s">
        <v>101</v>
      </c>
      <c r="AC141" s="54" t="e">
        <f t="shared" si="4"/>
        <v>#VALUE!</v>
      </c>
      <c r="AE141" s="54">
        <f t="shared" si="5"/>
        <v>0</v>
      </c>
      <c r="AH141" s="54"/>
    </row>
    <row r="142" spans="1:34" x14ac:dyDescent="0.25">
      <c r="A142">
        <v>1</v>
      </c>
      <c r="B142">
        <v>2017</v>
      </c>
      <c r="C142">
        <v>34</v>
      </c>
      <c r="D142" t="s">
        <v>41</v>
      </c>
      <c r="E142" t="s">
        <v>74</v>
      </c>
      <c r="F142">
        <v>23.24</v>
      </c>
      <c r="G142" t="s">
        <v>217</v>
      </c>
      <c r="H142">
        <v>3</v>
      </c>
      <c r="I142">
        <v>6</v>
      </c>
      <c r="J142">
        <v>20.263399999999997</v>
      </c>
      <c r="K142">
        <v>2017</v>
      </c>
      <c r="L142">
        <v>10</v>
      </c>
      <c r="M142" s="54">
        <f>AG142+AH142</f>
        <v>1861.3478261</v>
      </c>
      <c r="N142">
        <v>1</v>
      </c>
      <c r="O142">
        <v>2</v>
      </c>
      <c r="P142">
        <v>1</v>
      </c>
      <c r="Q142">
        <v>4</v>
      </c>
      <c r="R142">
        <v>4</v>
      </c>
      <c r="S142">
        <v>2</v>
      </c>
      <c r="T142" t="s">
        <v>218</v>
      </c>
      <c r="U142">
        <v>5</v>
      </c>
      <c r="V142">
        <v>80.430523182657808</v>
      </c>
      <c r="Y142">
        <v>5</v>
      </c>
      <c r="Z142">
        <v>11.04</v>
      </c>
      <c r="AB142">
        <v>0.21060694222924511</v>
      </c>
      <c r="AC142" s="54">
        <f t="shared" si="4"/>
        <v>4.8945053374076561</v>
      </c>
      <c r="AD142">
        <v>5.120659719462112</v>
      </c>
      <c r="AE142" s="54">
        <f t="shared" si="5"/>
        <v>0.51206597194621117</v>
      </c>
      <c r="AG142">
        <v>932</v>
      </c>
      <c r="AH142" s="54">
        <v>929.34782610000002</v>
      </c>
    </row>
    <row r="143" spans="1:34" x14ac:dyDescent="0.25">
      <c r="A143">
        <v>1</v>
      </c>
      <c r="M143" s="54"/>
      <c r="AB143" t="s">
        <v>101</v>
      </c>
      <c r="AC143" s="54" t="e">
        <f t="shared" si="4"/>
        <v>#VALUE!</v>
      </c>
      <c r="AE143" s="54">
        <f t="shared" si="5"/>
        <v>0</v>
      </c>
      <c r="AH143" s="54"/>
    </row>
    <row r="144" spans="1:34" x14ac:dyDescent="0.25">
      <c r="A144">
        <v>1</v>
      </c>
      <c r="B144">
        <v>2017</v>
      </c>
      <c r="C144">
        <v>34</v>
      </c>
      <c r="D144" t="s">
        <v>41</v>
      </c>
      <c r="E144" t="s">
        <v>77</v>
      </c>
      <c r="F144">
        <v>23.24</v>
      </c>
      <c r="G144" t="s">
        <v>217</v>
      </c>
      <c r="H144">
        <v>3</v>
      </c>
      <c r="I144">
        <v>6</v>
      </c>
      <c r="J144">
        <v>20.263399999999997</v>
      </c>
      <c r="K144">
        <v>2017</v>
      </c>
      <c r="L144">
        <v>10</v>
      </c>
      <c r="M144" s="54">
        <f>AG144+AH144</f>
        <v>1861.3478261</v>
      </c>
      <c r="N144">
        <v>3</v>
      </c>
      <c r="O144">
        <v>3</v>
      </c>
      <c r="P144">
        <v>1</v>
      </c>
      <c r="Q144">
        <v>4</v>
      </c>
      <c r="R144">
        <v>3</v>
      </c>
      <c r="S144">
        <v>2</v>
      </c>
      <c r="T144" t="s">
        <v>218</v>
      </c>
      <c r="U144">
        <v>2</v>
      </c>
      <c r="V144">
        <v>20</v>
      </c>
      <c r="Y144">
        <v>6</v>
      </c>
      <c r="Z144">
        <v>11.04</v>
      </c>
      <c r="AB144">
        <v>0.21060694222924511</v>
      </c>
      <c r="AC144" s="54">
        <f t="shared" si="4"/>
        <v>4.8945053374076561</v>
      </c>
      <c r="AD144">
        <v>4.9301272289579714</v>
      </c>
      <c r="AE144" s="54">
        <f t="shared" si="5"/>
        <v>0.49301272289579712</v>
      </c>
      <c r="AG144">
        <v>932</v>
      </c>
      <c r="AH144" s="54">
        <v>929.34782610000002</v>
      </c>
    </row>
    <row r="145" spans="1:34" x14ac:dyDescent="0.25">
      <c r="A145">
        <v>1</v>
      </c>
      <c r="M145" s="54"/>
      <c r="AB145" t="s">
        <v>101</v>
      </c>
      <c r="AC145" s="54" t="e">
        <f t="shared" si="4"/>
        <v>#VALUE!</v>
      </c>
      <c r="AE145" s="54">
        <f t="shared" si="5"/>
        <v>0</v>
      </c>
      <c r="AH145" s="54"/>
    </row>
    <row r="146" spans="1:34" x14ac:dyDescent="0.25">
      <c r="A146">
        <v>1</v>
      </c>
      <c r="B146">
        <v>2017</v>
      </c>
      <c r="C146">
        <v>87</v>
      </c>
      <c r="D146" t="s">
        <v>42</v>
      </c>
      <c r="E146" t="s">
        <v>292</v>
      </c>
      <c r="F146">
        <v>13.26</v>
      </c>
      <c r="G146" t="s">
        <v>217</v>
      </c>
      <c r="H146">
        <v>3</v>
      </c>
      <c r="I146">
        <v>5</v>
      </c>
      <c r="J146">
        <v>13.369299999999997</v>
      </c>
      <c r="K146">
        <v>2017</v>
      </c>
      <c r="L146">
        <v>10</v>
      </c>
      <c r="M146" s="54">
        <f>AG146+AH146</f>
        <v>1866.6956522</v>
      </c>
      <c r="N146">
        <v>1</v>
      </c>
      <c r="O146">
        <v>1</v>
      </c>
      <c r="P146">
        <v>1</v>
      </c>
      <c r="Q146">
        <v>4</v>
      </c>
      <c r="R146">
        <v>5</v>
      </c>
      <c r="S146">
        <v>1</v>
      </c>
      <c r="T146" t="s">
        <v>218</v>
      </c>
      <c r="U146">
        <v>8</v>
      </c>
      <c r="V146">
        <v>81.356081170293564</v>
      </c>
      <c r="X146">
        <v>81.356081170293564</v>
      </c>
      <c r="Y146">
        <v>8</v>
      </c>
      <c r="Z146">
        <v>11.96</v>
      </c>
      <c r="AB146">
        <v>0.2104819650021737</v>
      </c>
      <c r="AC146" s="54">
        <f t="shared" si="4"/>
        <v>2.7909908559288232</v>
      </c>
      <c r="AD146">
        <v>5.3412052806477153</v>
      </c>
      <c r="AE146" s="54">
        <f t="shared" si="5"/>
        <v>0.5341205280647715</v>
      </c>
      <c r="AG146">
        <v>958</v>
      </c>
      <c r="AH146" s="54">
        <v>908.69565220000004</v>
      </c>
    </row>
    <row r="147" spans="1:34" x14ac:dyDescent="0.25">
      <c r="A147">
        <v>1</v>
      </c>
      <c r="M147" s="54"/>
      <c r="AB147" t="s">
        <v>101</v>
      </c>
      <c r="AC147" s="54" t="e">
        <f t="shared" si="4"/>
        <v>#VALUE!</v>
      </c>
      <c r="AE147" s="54">
        <f t="shared" si="5"/>
        <v>0</v>
      </c>
      <c r="AH147" s="54"/>
    </row>
    <row r="148" spans="1:34" x14ac:dyDescent="0.25">
      <c r="A148">
        <v>1</v>
      </c>
      <c r="B148">
        <v>2017</v>
      </c>
      <c r="C148">
        <v>87</v>
      </c>
      <c r="D148" t="s">
        <v>42</v>
      </c>
      <c r="E148" t="s">
        <v>74</v>
      </c>
      <c r="F148">
        <v>13.26</v>
      </c>
      <c r="G148" t="s">
        <v>217</v>
      </c>
      <c r="H148">
        <v>3</v>
      </c>
      <c r="I148">
        <v>5</v>
      </c>
      <c r="J148">
        <v>13.369299999999997</v>
      </c>
      <c r="K148">
        <v>2017</v>
      </c>
      <c r="L148">
        <v>10</v>
      </c>
      <c r="M148" s="54">
        <f>AG148+AH148</f>
        <v>1866.6956522</v>
      </c>
      <c r="N148">
        <v>1</v>
      </c>
      <c r="O148">
        <v>2</v>
      </c>
      <c r="P148">
        <v>1</v>
      </c>
      <c r="Q148">
        <v>4</v>
      </c>
      <c r="R148">
        <v>4</v>
      </c>
      <c r="S148">
        <v>2</v>
      </c>
      <c r="T148" t="s">
        <v>218</v>
      </c>
      <c r="U148">
        <v>5</v>
      </c>
      <c r="V148">
        <v>65.084864936234851</v>
      </c>
      <c r="Y148">
        <v>5</v>
      </c>
      <c r="Z148">
        <v>11.96</v>
      </c>
      <c r="AB148">
        <v>0.2104819650021737</v>
      </c>
      <c r="AC148" s="54">
        <f t="shared" si="4"/>
        <v>2.7909908559288232</v>
      </c>
      <c r="AD148">
        <v>2.789369230907683</v>
      </c>
      <c r="AE148" s="54">
        <f t="shared" si="5"/>
        <v>0.27893692309076829</v>
      </c>
      <c r="AG148">
        <v>958</v>
      </c>
      <c r="AH148" s="54">
        <v>908.69565220000004</v>
      </c>
    </row>
    <row r="149" spans="1:34" x14ac:dyDescent="0.25">
      <c r="A149">
        <v>1</v>
      </c>
      <c r="M149" s="54"/>
      <c r="AB149" t="s">
        <v>101</v>
      </c>
      <c r="AC149" s="54" t="e">
        <f t="shared" si="4"/>
        <v>#VALUE!</v>
      </c>
      <c r="AE149" s="54">
        <f t="shared" si="5"/>
        <v>0</v>
      </c>
      <c r="AH149" s="54"/>
    </row>
    <row r="150" spans="1:34" x14ac:dyDescent="0.25">
      <c r="A150">
        <v>1</v>
      </c>
      <c r="B150">
        <v>2017</v>
      </c>
      <c r="C150">
        <v>87</v>
      </c>
      <c r="D150" t="s">
        <v>42</v>
      </c>
      <c r="E150" t="s">
        <v>77</v>
      </c>
      <c r="F150">
        <v>13.26</v>
      </c>
      <c r="G150" t="s">
        <v>217</v>
      </c>
      <c r="H150">
        <v>3</v>
      </c>
      <c r="I150">
        <v>5</v>
      </c>
      <c r="J150">
        <v>13.369299999999997</v>
      </c>
      <c r="K150">
        <v>2017</v>
      </c>
      <c r="L150">
        <v>10</v>
      </c>
      <c r="M150" s="54">
        <f>AG150+AH150</f>
        <v>1866.6956522</v>
      </c>
      <c r="N150">
        <v>3</v>
      </c>
      <c r="O150">
        <v>3</v>
      </c>
      <c r="P150">
        <v>1</v>
      </c>
      <c r="Q150">
        <v>4</v>
      </c>
      <c r="R150">
        <v>3</v>
      </c>
      <c r="S150">
        <v>2</v>
      </c>
      <c r="T150" t="s">
        <v>218</v>
      </c>
      <c r="U150">
        <v>2</v>
      </c>
      <c r="V150">
        <v>20</v>
      </c>
      <c r="Y150">
        <v>6</v>
      </c>
      <c r="Z150">
        <v>11.96</v>
      </c>
      <c r="AB150">
        <v>0.2104819650021737</v>
      </c>
      <c r="AC150" s="54">
        <f t="shared" si="4"/>
        <v>2.7909908559288232</v>
      </c>
      <c r="AD150">
        <v>2.6722196072413062</v>
      </c>
      <c r="AE150" s="54">
        <f t="shared" si="5"/>
        <v>0.26722196072413062</v>
      </c>
      <c r="AG150">
        <v>958</v>
      </c>
      <c r="AH150" s="54">
        <v>908.69565220000004</v>
      </c>
    </row>
    <row r="151" spans="1:34" x14ac:dyDescent="0.25">
      <c r="A151">
        <v>1</v>
      </c>
      <c r="M151" s="54"/>
      <c r="AB151" t="s">
        <v>101</v>
      </c>
      <c r="AC151" s="54" t="e">
        <f t="shared" si="4"/>
        <v>#VALUE!</v>
      </c>
      <c r="AE151" s="54">
        <f t="shared" si="5"/>
        <v>0</v>
      </c>
      <c r="AH151" s="54"/>
    </row>
    <row r="152" spans="1:34" x14ac:dyDescent="0.25">
      <c r="A152">
        <v>1</v>
      </c>
      <c r="B152">
        <v>2017</v>
      </c>
      <c r="C152">
        <v>44</v>
      </c>
      <c r="D152" t="s">
        <v>93</v>
      </c>
      <c r="E152" t="s">
        <v>292</v>
      </c>
      <c r="F152">
        <v>5.66</v>
      </c>
      <c r="G152" t="s">
        <v>98</v>
      </c>
      <c r="H152">
        <v>2</v>
      </c>
      <c r="I152">
        <v>6</v>
      </c>
      <c r="J152">
        <v>14.448500000000001</v>
      </c>
      <c r="K152">
        <v>2017</v>
      </c>
      <c r="L152">
        <v>10</v>
      </c>
      <c r="M152" s="54">
        <f>AG152+AH152</f>
        <v>2006.9565219999999</v>
      </c>
      <c r="N152">
        <v>1</v>
      </c>
      <c r="O152">
        <v>1</v>
      </c>
      <c r="P152">
        <v>1</v>
      </c>
      <c r="Q152">
        <v>3</v>
      </c>
      <c r="R152">
        <v>5</v>
      </c>
      <c r="S152">
        <v>1</v>
      </c>
      <c r="T152" t="s">
        <v>218</v>
      </c>
      <c r="U152">
        <v>8</v>
      </c>
      <c r="V152">
        <v>104.07273105182725</v>
      </c>
      <c r="X152">
        <v>104.07273105182725</v>
      </c>
      <c r="Y152">
        <v>8</v>
      </c>
      <c r="Z152">
        <v>0.69</v>
      </c>
      <c r="AB152">
        <v>0.2073504084558585</v>
      </c>
      <c r="AC152" s="54">
        <f t="shared" si="4"/>
        <v>1.1736033118601592</v>
      </c>
      <c r="AD152">
        <v>7.1580884418856403</v>
      </c>
      <c r="AE152" s="54">
        <f t="shared" si="5"/>
        <v>0.71580884418856405</v>
      </c>
      <c r="AG152">
        <v>995</v>
      </c>
      <c r="AH152" s="54">
        <v>1011.9565219999999</v>
      </c>
    </row>
    <row r="153" spans="1:34" x14ac:dyDescent="0.25">
      <c r="A153">
        <v>1</v>
      </c>
      <c r="M153" s="54"/>
      <c r="AB153" t="s">
        <v>101</v>
      </c>
      <c r="AC153" s="54" t="e">
        <f t="shared" si="4"/>
        <v>#VALUE!</v>
      </c>
      <c r="AE153" s="54">
        <f t="shared" si="5"/>
        <v>0</v>
      </c>
      <c r="AH153" s="54"/>
    </row>
    <row r="154" spans="1:34" x14ac:dyDescent="0.25">
      <c r="A154">
        <v>1</v>
      </c>
      <c r="B154">
        <v>2017</v>
      </c>
      <c r="C154">
        <v>44</v>
      </c>
      <c r="D154" t="s">
        <v>93</v>
      </c>
      <c r="E154" t="s">
        <v>74</v>
      </c>
      <c r="F154">
        <v>5.66</v>
      </c>
      <c r="G154" t="s">
        <v>98</v>
      </c>
      <c r="H154">
        <v>2</v>
      </c>
      <c r="I154">
        <v>6</v>
      </c>
      <c r="J154">
        <v>14.448500000000001</v>
      </c>
      <c r="K154">
        <v>2017</v>
      </c>
      <c r="L154">
        <v>10</v>
      </c>
      <c r="M154" s="54">
        <f>AG154+AH154</f>
        <v>2006.9565219999999</v>
      </c>
      <c r="N154">
        <v>1</v>
      </c>
      <c r="O154">
        <v>2</v>
      </c>
      <c r="P154">
        <v>1</v>
      </c>
      <c r="Q154">
        <v>3</v>
      </c>
      <c r="R154">
        <v>4</v>
      </c>
      <c r="S154">
        <v>2</v>
      </c>
      <c r="T154" t="s">
        <v>218</v>
      </c>
      <c r="U154">
        <v>5</v>
      </c>
      <c r="V154">
        <v>83.258184841461798</v>
      </c>
      <c r="Y154">
        <v>5</v>
      </c>
      <c r="Z154">
        <v>0.69</v>
      </c>
      <c r="AB154">
        <v>0.2073504084558585</v>
      </c>
      <c r="AC154" s="54">
        <f t="shared" si="4"/>
        <v>1.1736033118601592</v>
      </c>
      <c r="AD154">
        <v>2.1992443221560665</v>
      </c>
      <c r="AE154" s="54">
        <f t="shared" si="5"/>
        <v>0.21992443221560665</v>
      </c>
      <c r="AG154">
        <v>995</v>
      </c>
      <c r="AH154" s="54">
        <v>1011.9565219999999</v>
      </c>
    </row>
    <row r="155" spans="1:34" x14ac:dyDescent="0.25">
      <c r="A155">
        <v>1</v>
      </c>
      <c r="M155" s="54"/>
      <c r="AB155" t="s">
        <v>101</v>
      </c>
      <c r="AC155" s="54" t="e">
        <f t="shared" si="4"/>
        <v>#VALUE!</v>
      </c>
      <c r="AE155" s="54">
        <f t="shared" si="5"/>
        <v>0</v>
      </c>
      <c r="AH155" s="54"/>
    </row>
    <row r="156" spans="1:34" x14ac:dyDescent="0.25">
      <c r="A156">
        <v>1</v>
      </c>
      <c r="B156">
        <v>2017</v>
      </c>
      <c r="C156">
        <v>44</v>
      </c>
      <c r="D156" t="s">
        <v>93</v>
      </c>
      <c r="E156" t="s">
        <v>77</v>
      </c>
      <c r="F156">
        <v>5.66</v>
      </c>
      <c r="G156" t="s">
        <v>98</v>
      </c>
      <c r="H156">
        <v>2</v>
      </c>
      <c r="I156">
        <v>6</v>
      </c>
      <c r="J156">
        <v>14.448500000000001</v>
      </c>
      <c r="K156">
        <v>2017</v>
      </c>
      <c r="L156">
        <v>10</v>
      </c>
      <c r="M156" s="54">
        <f>AG156+AH156</f>
        <v>2006.9565219999999</v>
      </c>
      <c r="N156">
        <v>3</v>
      </c>
      <c r="O156">
        <v>3</v>
      </c>
      <c r="P156">
        <v>1</v>
      </c>
      <c r="Q156">
        <v>3</v>
      </c>
      <c r="R156">
        <v>3</v>
      </c>
      <c r="S156">
        <v>2</v>
      </c>
      <c r="T156" t="s">
        <v>218</v>
      </c>
      <c r="U156">
        <v>2</v>
      </c>
      <c r="V156">
        <v>20</v>
      </c>
      <c r="Y156">
        <v>6</v>
      </c>
      <c r="Z156">
        <v>0.69</v>
      </c>
      <c r="AB156">
        <v>0.2073504084558585</v>
      </c>
      <c r="AC156" s="54">
        <f t="shared" si="4"/>
        <v>1.1736033118601592</v>
      </c>
      <c r="AD156">
        <v>1.7946185292884076</v>
      </c>
      <c r="AE156" s="54">
        <f t="shared" si="5"/>
        <v>0.17946185292884076</v>
      </c>
      <c r="AG156">
        <v>995</v>
      </c>
      <c r="AH156" s="54">
        <v>1011.9565219999999</v>
      </c>
    </row>
    <row r="157" spans="1:34" x14ac:dyDescent="0.25">
      <c r="A157">
        <v>1</v>
      </c>
      <c r="M157" s="54"/>
      <c r="AB157" t="s">
        <v>101</v>
      </c>
      <c r="AC157" s="54" t="e">
        <f t="shared" si="4"/>
        <v>#VALUE!</v>
      </c>
      <c r="AE157" s="54">
        <f t="shared" si="5"/>
        <v>0</v>
      </c>
      <c r="AH157" s="54"/>
    </row>
    <row r="158" spans="1:34" x14ac:dyDescent="0.25">
      <c r="A158">
        <v>1</v>
      </c>
      <c r="B158">
        <v>2017</v>
      </c>
      <c r="C158">
        <v>20</v>
      </c>
      <c r="D158" t="s">
        <v>44</v>
      </c>
      <c r="E158" t="s">
        <v>292</v>
      </c>
      <c r="F158">
        <v>25.99</v>
      </c>
      <c r="G158" t="s">
        <v>217</v>
      </c>
      <c r="H158">
        <v>2</v>
      </c>
      <c r="I158">
        <v>5</v>
      </c>
      <c r="J158">
        <v>20.455099999999998</v>
      </c>
      <c r="K158">
        <v>2017</v>
      </c>
      <c r="L158">
        <v>10</v>
      </c>
      <c r="M158" s="54">
        <f>AG158+AH158</f>
        <v>1672.7391304</v>
      </c>
      <c r="N158">
        <v>1</v>
      </c>
      <c r="O158">
        <v>1</v>
      </c>
      <c r="P158">
        <v>1</v>
      </c>
      <c r="Q158">
        <v>4</v>
      </c>
      <c r="R158">
        <v>5</v>
      </c>
      <c r="S158">
        <v>1</v>
      </c>
      <c r="T158" t="s">
        <v>218</v>
      </c>
      <c r="U158">
        <v>8</v>
      </c>
      <c r="V158">
        <v>86.805731257015651</v>
      </c>
      <c r="X158">
        <v>86.805731257015651</v>
      </c>
      <c r="Y158">
        <v>8</v>
      </c>
      <c r="Z158">
        <v>12.19</v>
      </c>
      <c r="AB158">
        <v>0.21531421460765474</v>
      </c>
      <c r="AC158" s="54">
        <f t="shared" si="4"/>
        <v>5.5960164376529464</v>
      </c>
      <c r="AD158">
        <v>10.223152809188456</v>
      </c>
      <c r="AE158" s="54">
        <f t="shared" si="5"/>
        <v>1.0223152809188456</v>
      </c>
      <c r="AG158">
        <v>826</v>
      </c>
      <c r="AH158" s="54">
        <v>846.73913040000002</v>
      </c>
    </row>
    <row r="159" spans="1:34" x14ac:dyDescent="0.25">
      <c r="A159">
        <v>1</v>
      </c>
      <c r="M159" s="54"/>
      <c r="AB159" t="s">
        <v>101</v>
      </c>
      <c r="AC159" s="54" t="e">
        <f t="shared" si="4"/>
        <v>#VALUE!</v>
      </c>
      <c r="AE159" s="54">
        <f t="shared" si="5"/>
        <v>0</v>
      </c>
      <c r="AH159" s="54"/>
    </row>
    <row r="160" spans="1:34" x14ac:dyDescent="0.25">
      <c r="A160">
        <v>1</v>
      </c>
      <c r="B160">
        <v>2017</v>
      </c>
      <c r="C160">
        <v>20</v>
      </c>
      <c r="D160" t="s">
        <v>44</v>
      </c>
      <c r="E160" t="s">
        <v>74</v>
      </c>
      <c r="F160">
        <v>25.99</v>
      </c>
      <c r="G160" t="s">
        <v>217</v>
      </c>
      <c r="H160">
        <v>2</v>
      </c>
      <c r="I160">
        <v>5</v>
      </c>
      <c r="J160">
        <v>20.455099999999998</v>
      </c>
      <c r="K160">
        <v>2017</v>
      </c>
      <c r="L160">
        <v>10</v>
      </c>
      <c r="M160" s="54">
        <f>AG160+AH160</f>
        <v>1672.7391304</v>
      </c>
      <c r="N160">
        <v>1</v>
      </c>
      <c r="O160">
        <v>2</v>
      </c>
      <c r="P160">
        <v>1</v>
      </c>
      <c r="Q160">
        <v>4</v>
      </c>
      <c r="R160">
        <v>4</v>
      </c>
      <c r="S160">
        <v>2</v>
      </c>
      <c r="T160" t="s">
        <v>218</v>
      </c>
      <c r="U160">
        <v>5</v>
      </c>
      <c r="V160">
        <v>69.444585005612524</v>
      </c>
      <c r="Y160">
        <v>5</v>
      </c>
      <c r="Z160">
        <v>12.19</v>
      </c>
      <c r="AB160">
        <v>0.21531421460765474</v>
      </c>
      <c r="AC160" s="54">
        <f t="shared" si="4"/>
        <v>5.5960164376529464</v>
      </c>
      <c r="AD160">
        <v>5.5922779454517126</v>
      </c>
      <c r="AE160" s="54">
        <f t="shared" si="5"/>
        <v>0.55922779454517124</v>
      </c>
      <c r="AG160">
        <v>826</v>
      </c>
      <c r="AH160" s="54">
        <v>846.73913040000002</v>
      </c>
    </row>
    <row r="161" spans="1:34" x14ac:dyDescent="0.25">
      <c r="A161">
        <v>1</v>
      </c>
      <c r="M161" s="54"/>
      <c r="AB161" t="s">
        <v>101</v>
      </c>
      <c r="AC161" s="54" t="e">
        <f t="shared" si="4"/>
        <v>#VALUE!</v>
      </c>
      <c r="AE161" s="54">
        <f t="shared" si="5"/>
        <v>0</v>
      </c>
      <c r="AH161" s="54"/>
    </row>
    <row r="162" spans="1:34" x14ac:dyDescent="0.25">
      <c r="A162">
        <v>1</v>
      </c>
      <c r="B162">
        <v>2017</v>
      </c>
      <c r="C162">
        <v>20</v>
      </c>
      <c r="D162" t="s">
        <v>44</v>
      </c>
      <c r="E162" t="s">
        <v>77</v>
      </c>
      <c r="F162">
        <v>25.99</v>
      </c>
      <c r="G162" t="s">
        <v>217</v>
      </c>
      <c r="H162">
        <v>2</v>
      </c>
      <c r="I162">
        <v>5</v>
      </c>
      <c r="J162">
        <v>20.455099999999998</v>
      </c>
      <c r="K162">
        <v>2017</v>
      </c>
      <c r="L162">
        <v>10</v>
      </c>
      <c r="M162" s="54">
        <f>AG162+AH162</f>
        <v>1672.7391304</v>
      </c>
      <c r="N162">
        <v>3</v>
      </c>
      <c r="O162">
        <v>3</v>
      </c>
      <c r="P162">
        <v>1</v>
      </c>
      <c r="Q162">
        <v>4</v>
      </c>
      <c r="R162">
        <v>3</v>
      </c>
      <c r="S162">
        <v>2</v>
      </c>
      <c r="T162" t="s">
        <v>218</v>
      </c>
      <c r="U162">
        <v>2</v>
      </c>
      <c r="V162">
        <v>20</v>
      </c>
      <c r="Y162">
        <v>6</v>
      </c>
      <c r="Z162">
        <v>12.19</v>
      </c>
      <c r="AB162">
        <v>0.21531421460765474</v>
      </c>
      <c r="AC162" s="54">
        <f t="shared" si="4"/>
        <v>5.5960164376529464</v>
      </c>
      <c r="AD162">
        <v>5.2959196845596583</v>
      </c>
      <c r="AE162" s="54">
        <f t="shared" si="5"/>
        <v>0.52959196845596579</v>
      </c>
      <c r="AG162">
        <v>826</v>
      </c>
      <c r="AH162" s="54">
        <v>846.73913040000002</v>
      </c>
    </row>
    <row r="163" spans="1:34" x14ac:dyDescent="0.25">
      <c r="A163">
        <v>1</v>
      </c>
      <c r="M163" s="54"/>
      <c r="AB163" t="s">
        <v>101</v>
      </c>
      <c r="AC163" s="54" t="e">
        <f t="shared" si="4"/>
        <v>#VALUE!</v>
      </c>
      <c r="AE163" s="54">
        <f t="shared" si="5"/>
        <v>0</v>
      </c>
      <c r="AH163" s="54"/>
    </row>
    <row r="164" spans="1:34" x14ac:dyDescent="0.25">
      <c r="A164">
        <v>1</v>
      </c>
      <c r="B164">
        <v>2017</v>
      </c>
      <c r="C164">
        <v>54</v>
      </c>
      <c r="D164" t="s">
        <v>80</v>
      </c>
      <c r="E164" t="s">
        <v>292</v>
      </c>
      <c r="F164">
        <v>4.91</v>
      </c>
      <c r="G164" t="s">
        <v>98</v>
      </c>
      <c r="H164">
        <v>3</v>
      </c>
      <c r="I164">
        <v>10</v>
      </c>
      <c r="J164">
        <v>12.950399999999998</v>
      </c>
      <c r="K164">
        <v>2017</v>
      </c>
      <c r="L164">
        <v>10</v>
      </c>
      <c r="M164" s="54">
        <f>AG164+AH164</f>
        <v>2005.9565219999999</v>
      </c>
      <c r="N164">
        <v>1</v>
      </c>
      <c r="O164">
        <v>1</v>
      </c>
      <c r="P164">
        <v>1</v>
      </c>
      <c r="Q164">
        <v>3</v>
      </c>
      <c r="R164">
        <v>5</v>
      </c>
      <c r="S164">
        <v>1</v>
      </c>
      <c r="T164" t="s">
        <v>218</v>
      </c>
      <c r="U164">
        <v>8</v>
      </c>
      <c r="V164">
        <v>86.317856759746476</v>
      </c>
      <c r="X164">
        <v>86.317856759746476</v>
      </c>
      <c r="Y164">
        <v>8</v>
      </c>
      <c r="Z164">
        <v>2.2999999999999998</v>
      </c>
      <c r="AB164">
        <v>0.20737179093382727</v>
      </c>
      <c r="AC164" s="54">
        <f t="shared" si="4"/>
        <v>1.0181954934850919</v>
      </c>
      <c r="AD164">
        <v>6.6283731933223082</v>
      </c>
      <c r="AE164" s="54">
        <f t="shared" si="5"/>
        <v>0.66283731933223078</v>
      </c>
      <c r="AG164">
        <v>994</v>
      </c>
      <c r="AH164" s="54">
        <v>1011.9565219999999</v>
      </c>
    </row>
    <row r="165" spans="1:34" x14ac:dyDescent="0.25">
      <c r="A165">
        <v>1</v>
      </c>
      <c r="M165" s="54"/>
      <c r="AB165" t="s">
        <v>101</v>
      </c>
      <c r="AC165" s="54" t="e">
        <f t="shared" si="4"/>
        <v>#VALUE!</v>
      </c>
      <c r="AE165" s="54">
        <f t="shared" si="5"/>
        <v>0</v>
      </c>
      <c r="AH165" s="54"/>
    </row>
    <row r="166" spans="1:34" x14ac:dyDescent="0.25">
      <c r="A166">
        <v>1</v>
      </c>
      <c r="B166">
        <v>2017</v>
      </c>
      <c r="C166">
        <v>54</v>
      </c>
      <c r="D166" t="s">
        <v>80</v>
      </c>
      <c r="E166" t="s">
        <v>74</v>
      </c>
      <c r="F166">
        <v>4.91</v>
      </c>
      <c r="G166" t="s">
        <v>98</v>
      </c>
      <c r="H166">
        <v>3</v>
      </c>
      <c r="I166">
        <v>10</v>
      </c>
      <c r="J166">
        <v>12.950399999999998</v>
      </c>
      <c r="K166">
        <v>2017</v>
      </c>
      <c r="L166">
        <v>10</v>
      </c>
      <c r="M166" s="54">
        <f>AG166+AH166</f>
        <v>2005.9565219999999</v>
      </c>
      <c r="N166">
        <v>1</v>
      </c>
      <c r="O166">
        <v>2</v>
      </c>
      <c r="P166">
        <v>1</v>
      </c>
      <c r="Q166">
        <v>3</v>
      </c>
      <c r="R166">
        <v>4</v>
      </c>
      <c r="S166">
        <v>2</v>
      </c>
      <c r="T166" t="s">
        <v>218</v>
      </c>
      <c r="U166">
        <v>5</v>
      </c>
      <c r="V166">
        <v>69.054285407797181</v>
      </c>
      <c r="Y166">
        <v>5</v>
      </c>
      <c r="Z166">
        <v>2.2999999999999998</v>
      </c>
      <c r="AB166">
        <v>0.20737179093382727</v>
      </c>
      <c r="AC166" s="54">
        <f t="shared" si="4"/>
        <v>1.0181954934850919</v>
      </c>
      <c r="AD166">
        <v>2.2246733798839688</v>
      </c>
      <c r="AE166" s="54">
        <f t="shared" si="5"/>
        <v>0.22246733798839688</v>
      </c>
      <c r="AG166">
        <v>994</v>
      </c>
      <c r="AH166" s="54">
        <v>1011.9565219999999</v>
      </c>
    </row>
    <row r="167" spans="1:34" x14ac:dyDescent="0.25">
      <c r="A167">
        <v>1</v>
      </c>
      <c r="M167" s="54"/>
      <c r="AB167" t="s">
        <v>101</v>
      </c>
      <c r="AC167" s="54" t="e">
        <f t="shared" si="4"/>
        <v>#VALUE!</v>
      </c>
      <c r="AE167" s="54">
        <f t="shared" si="5"/>
        <v>0</v>
      </c>
      <c r="AH167" s="54"/>
    </row>
    <row r="168" spans="1:34" x14ac:dyDescent="0.25">
      <c r="A168">
        <v>1</v>
      </c>
      <c r="B168">
        <v>2017</v>
      </c>
      <c r="C168">
        <v>54</v>
      </c>
      <c r="D168" t="s">
        <v>80</v>
      </c>
      <c r="E168" t="s">
        <v>77</v>
      </c>
      <c r="F168">
        <v>4.91</v>
      </c>
      <c r="G168" t="s">
        <v>98</v>
      </c>
      <c r="H168">
        <v>3</v>
      </c>
      <c r="I168">
        <v>10</v>
      </c>
      <c r="J168">
        <v>12.950399999999998</v>
      </c>
      <c r="K168">
        <v>2017</v>
      </c>
      <c r="L168">
        <v>10</v>
      </c>
      <c r="M168" s="54">
        <f>AG168+AH168</f>
        <v>2005.9565219999999</v>
      </c>
      <c r="N168">
        <v>3</v>
      </c>
      <c r="O168">
        <v>3</v>
      </c>
      <c r="P168">
        <v>1</v>
      </c>
      <c r="Q168">
        <v>3</v>
      </c>
      <c r="R168">
        <v>3</v>
      </c>
      <c r="S168">
        <v>2</v>
      </c>
      <c r="T168" t="s">
        <v>218</v>
      </c>
      <c r="U168">
        <v>2</v>
      </c>
      <c r="V168">
        <v>20</v>
      </c>
      <c r="Y168">
        <v>6</v>
      </c>
      <c r="Z168">
        <v>2.2999999999999998</v>
      </c>
      <c r="AB168">
        <v>0.20737179093382727</v>
      </c>
      <c r="AC168" s="54">
        <f t="shared" si="4"/>
        <v>1.0181954934850919</v>
      </c>
      <c r="AD168">
        <v>1.8693047577268112</v>
      </c>
      <c r="AE168" s="54">
        <f t="shared" si="5"/>
        <v>0.18693047577268113</v>
      </c>
      <c r="AG168">
        <v>994</v>
      </c>
      <c r="AH168" s="54">
        <v>1011.9565219999999</v>
      </c>
    </row>
    <row r="169" spans="1:34" x14ac:dyDescent="0.25">
      <c r="A169">
        <v>1</v>
      </c>
      <c r="M169" s="54"/>
      <c r="AB169" t="s">
        <v>101</v>
      </c>
      <c r="AC169" s="54" t="e">
        <f t="shared" si="4"/>
        <v>#VALUE!</v>
      </c>
      <c r="AE169" s="54">
        <f t="shared" si="5"/>
        <v>0</v>
      </c>
      <c r="AH169" s="54"/>
    </row>
    <row r="170" spans="1:34" x14ac:dyDescent="0.25">
      <c r="A170">
        <v>1</v>
      </c>
      <c r="B170">
        <v>2017</v>
      </c>
      <c r="C170">
        <v>83</v>
      </c>
      <c r="D170" t="s">
        <v>81</v>
      </c>
      <c r="E170" t="s">
        <v>292</v>
      </c>
      <c r="F170">
        <v>26.22</v>
      </c>
      <c r="G170" t="s">
        <v>217</v>
      </c>
      <c r="H170">
        <v>2</v>
      </c>
      <c r="I170">
        <v>6</v>
      </c>
      <c r="J170">
        <v>25.907900000000001</v>
      </c>
      <c r="K170">
        <v>2017</v>
      </c>
      <c r="L170">
        <v>10</v>
      </c>
      <c r="M170" s="54">
        <f>AG170+AH170</f>
        <v>1858.3478261</v>
      </c>
      <c r="N170">
        <v>1</v>
      </c>
      <c r="O170">
        <v>1</v>
      </c>
      <c r="P170">
        <v>1</v>
      </c>
      <c r="Q170">
        <v>4</v>
      </c>
      <c r="R170">
        <v>5</v>
      </c>
      <c r="S170">
        <v>1</v>
      </c>
      <c r="T170" t="s">
        <v>218</v>
      </c>
      <c r="U170">
        <v>8</v>
      </c>
      <c r="V170">
        <v>89.17301225522472</v>
      </c>
      <c r="X170">
        <v>89.17301225522472</v>
      </c>
      <c r="Y170">
        <v>8</v>
      </c>
      <c r="Z170">
        <v>11.04</v>
      </c>
      <c r="AB170">
        <v>0.21067724129977045</v>
      </c>
      <c r="AC170" s="54">
        <f t="shared" si="4"/>
        <v>5.5239572668799806</v>
      </c>
      <c r="AD170">
        <v>10.128739407543016</v>
      </c>
      <c r="AE170" s="54">
        <f t="shared" si="5"/>
        <v>1.0128739407543015</v>
      </c>
      <c r="AG170">
        <v>929</v>
      </c>
      <c r="AH170" s="54">
        <v>929.34782610000002</v>
      </c>
    </row>
    <row r="171" spans="1:34" x14ac:dyDescent="0.25">
      <c r="A171">
        <v>1</v>
      </c>
      <c r="M171" s="54"/>
      <c r="AB171" t="s">
        <v>101</v>
      </c>
      <c r="AC171" s="54" t="e">
        <f t="shared" si="4"/>
        <v>#VALUE!</v>
      </c>
      <c r="AE171" s="54">
        <f t="shared" si="5"/>
        <v>0</v>
      </c>
      <c r="AH171" s="54"/>
    </row>
    <row r="172" spans="1:34" x14ac:dyDescent="0.25">
      <c r="A172">
        <v>1</v>
      </c>
      <c r="B172">
        <v>2017</v>
      </c>
      <c r="C172">
        <v>83</v>
      </c>
      <c r="D172" t="s">
        <v>81</v>
      </c>
      <c r="E172" t="s">
        <v>74</v>
      </c>
      <c r="F172">
        <v>26.22</v>
      </c>
      <c r="G172" t="s">
        <v>217</v>
      </c>
      <c r="H172">
        <v>2</v>
      </c>
      <c r="I172">
        <v>6</v>
      </c>
      <c r="J172">
        <v>25.907900000000001</v>
      </c>
      <c r="K172">
        <v>2017</v>
      </c>
      <c r="L172">
        <v>10</v>
      </c>
      <c r="M172" s="54">
        <f>AG172+AH172</f>
        <v>1858.3478261</v>
      </c>
      <c r="N172">
        <v>1</v>
      </c>
      <c r="O172">
        <v>2</v>
      </c>
      <c r="P172">
        <v>1</v>
      </c>
      <c r="Q172">
        <v>4</v>
      </c>
      <c r="R172">
        <v>4</v>
      </c>
      <c r="S172">
        <v>2</v>
      </c>
      <c r="T172" t="s">
        <v>218</v>
      </c>
      <c r="U172">
        <v>5</v>
      </c>
      <c r="V172">
        <v>71.338409804179776</v>
      </c>
      <c r="Y172">
        <v>5</v>
      </c>
      <c r="Z172">
        <v>11.04</v>
      </c>
      <c r="AB172">
        <v>0.21067724129977045</v>
      </c>
      <c r="AC172" s="54">
        <f t="shared" si="4"/>
        <v>5.5239572668799806</v>
      </c>
      <c r="AD172">
        <v>5.8161711627097814</v>
      </c>
      <c r="AE172" s="54">
        <f t="shared" si="5"/>
        <v>0.58161711627097812</v>
      </c>
      <c r="AG172">
        <v>929</v>
      </c>
      <c r="AH172" s="54">
        <v>929.34782610000002</v>
      </c>
    </row>
    <row r="173" spans="1:34" x14ac:dyDescent="0.25">
      <c r="A173">
        <v>1</v>
      </c>
      <c r="M173" s="54"/>
      <c r="AB173" t="s">
        <v>101</v>
      </c>
      <c r="AC173" s="54" t="e">
        <f t="shared" si="4"/>
        <v>#VALUE!</v>
      </c>
      <c r="AE173" s="54">
        <f t="shared" si="5"/>
        <v>0</v>
      </c>
      <c r="AH173" s="54"/>
    </row>
    <row r="174" spans="1:34" x14ac:dyDescent="0.25">
      <c r="A174">
        <v>1</v>
      </c>
      <c r="B174">
        <v>2017</v>
      </c>
      <c r="C174">
        <v>83</v>
      </c>
      <c r="D174" t="s">
        <v>81</v>
      </c>
      <c r="E174" t="s">
        <v>77</v>
      </c>
      <c r="F174">
        <v>26.22</v>
      </c>
      <c r="G174" t="s">
        <v>217</v>
      </c>
      <c r="H174">
        <v>2</v>
      </c>
      <c r="I174">
        <v>6</v>
      </c>
      <c r="J174">
        <v>25.907900000000001</v>
      </c>
      <c r="K174">
        <v>2017</v>
      </c>
      <c r="L174">
        <v>10</v>
      </c>
      <c r="M174" s="54">
        <f>AG174+AH174</f>
        <v>1858.3478261</v>
      </c>
      <c r="N174">
        <v>3</v>
      </c>
      <c r="O174">
        <v>3</v>
      </c>
      <c r="P174">
        <v>1</v>
      </c>
      <c r="Q174">
        <v>4</v>
      </c>
      <c r="R174">
        <v>3</v>
      </c>
      <c r="S174">
        <v>2</v>
      </c>
      <c r="T174" t="s">
        <v>218</v>
      </c>
      <c r="U174">
        <v>2</v>
      </c>
      <c r="V174">
        <v>20</v>
      </c>
      <c r="Y174">
        <v>6</v>
      </c>
      <c r="Z174">
        <v>11.04</v>
      </c>
      <c r="AB174">
        <v>0.21067724129977045</v>
      </c>
      <c r="AC174" s="54">
        <f t="shared" si="4"/>
        <v>5.5239572668799806</v>
      </c>
      <c r="AD174">
        <v>5.5524149176478064</v>
      </c>
      <c r="AE174" s="54">
        <f t="shared" si="5"/>
        <v>0.55524149176478066</v>
      </c>
      <c r="AG174">
        <v>929</v>
      </c>
      <c r="AH174" s="54">
        <v>929.34782610000002</v>
      </c>
    </row>
    <row r="175" spans="1:34" x14ac:dyDescent="0.25">
      <c r="A175">
        <v>1</v>
      </c>
      <c r="M175" s="54"/>
      <c r="AB175" t="s">
        <v>101</v>
      </c>
      <c r="AC175" s="54" t="e">
        <f t="shared" si="4"/>
        <v>#VALUE!</v>
      </c>
      <c r="AE175" s="54">
        <f t="shared" si="5"/>
        <v>0</v>
      </c>
      <c r="AH175" s="54"/>
    </row>
    <row r="176" spans="1:34" x14ac:dyDescent="0.25">
      <c r="A176">
        <v>1</v>
      </c>
      <c r="B176">
        <v>2017</v>
      </c>
      <c r="C176">
        <v>71</v>
      </c>
      <c r="D176" t="s">
        <v>82</v>
      </c>
      <c r="E176" t="s">
        <v>292</v>
      </c>
      <c r="F176">
        <v>18.64</v>
      </c>
      <c r="G176" t="s">
        <v>217</v>
      </c>
      <c r="H176">
        <v>2</v>
      </c>
      <c r="I176">
        <v>7</v>
      </c>
      <c r="J176">
        <v>22.151999999999997</v>
      </c>
      <c r="K176">
        <v>2017</v>
      </c>
      <c r="L176">
        <v>10</v>
      </c>
      <c r="M176" s="54">
        <f>AG176+AH176</f>
        <v>1837</v>
      </c>
      <c r="N176">
        <v>1</v>
      </c>
      <c r="O176">
        <v>1</v>
      </c>
      <c r="P176">
        <v>1</v>
      </c>
      <c r="Q176">
        <v>4</v>
      </c>
      <c r="R176">
        <v>5</v>
      </c>
      <c r="S176">
        <v>1</v>
      </c>
      <c r="T176" t="s">
        <v>218</v>
      </c>
      <c r="U176">
        <v>8</v>
      </c>
      <c r="V176">
        <v>91.179158066797982</v>
      </c>
      <c r="X176">
        <v>91.179158066797982</v>
      </c>
      <c r="Y176">
        <v>8</v>
      </c>
      <c r="Z176">
        <v>10.119999999999999</v>
      </c>
      <c r="AB176">
        <v>0.21118147338112911</v>
      </c>
      <c r="AC176" s="54">
        <f t="shared" si="4"/>
        <v>3.9364226638242465</v>
      </c>
      <c r="AD176">
        <v>8.7112013038559102</v>
      </c>
      <c r="AE176" s="54">
        <f t="shared" si="5"/>
        <v>0.871120130385591</v>
      </c>
      <c r="AG176">
        <v>887</v>
      </c>
      <c r="AH176" s="54">
        <v>950</v>
      </c>
    </row>
    <row r="177" spans="1:34" x14ac:dyDescent="0.25">
      <c r="A177">
        <v>1</v>
      </c>
      <c r="M177" s="54"/>
      <c r="AB177" t="s">
        <v>101</v>
      </c>
      <c r="AC177" s="54" t="e">
        <f t="shared" si="4"/>
        <v>#VALUE!</v>
      </c>
      <c r="AE177" s="54">
        <f t="shared" si="5"/>
        <v>0</v>
      </c>
    </row>
    <row r="178" spans="1:34" x14ac:dyDescent="0.25">
      <c r="A178">
        <v>1</v>
      </c>
      <c r="B178">
        <v>2017</v>
      </c>
      <c r="C178">
        <v>71</v>
      </c>
      <c r="D178" t="s">
        <v>82</v>
      </c>
      <c r="E178" t="s">
        <v>74</v>
      </c>
      <c r="F178">
        <v>18.64</v>
      </c>
      <c r="G178" t="s">
        <v>217</v>
      </c>
      <c r="H178">
        <v>2</v>
      </c>
      <c r="I178">
        <v>7</v>
      </c>
      <c r="J178">
        <v>22.151999999999997</v>
      </c>
      <c r="K178">
        <v>2017</v>
      </c>
      <c r="L178">
        <v>10</v>
      </c>
      <c r="M178" s="54">
        <f>AG178+AH178</f>
        <v>1837</v>
      </c>
      <c r="N178">
        <v>1</v>
      </c>
      <c r="O178">
        <v>2</v>
      </c>
      <c r="P178">
        <v>1</v>
      </c>
      <c r="Q178">
        <v>4</v>
      </c>
      <c r="R178">
        <v>4</v>
      </c>
      <c r="S178">
        <v>2</v>
      </c>
      <c r="T178" t="s">
        <v>218</v>
      </c>
      <c r="U178">
        <v>5</v>
      </c>
      <c r="V178">
        <v>72.943326453438388</v>
      </c>
      <c r="Y178">
        <v>5</v>
      </c>
      <c r="Z178">
        <v>10.119999999999999</v>
      </c>
      <c r="AB178">
        <v>0.21118147338112911</v>
      </c>
      <c r="AC178" s="54">
        <f t="shared" si="4"/>
        <v>3.9364226638242465</v>
      </c>
      <c r="AD178">
        <v>4.584931716620031</v>
      </c>
      <c r="AE178" s="54">
        <f t="shared" si="5"/>
        <v>0.4584931716620031</v>
      </c>
      <c r="AG178">
        <v>887</v>
      </c>
      <c r="AH178" s="54">
        <v>950</v>
      </c>
    </row>
    <row r="179" spans="1:34" x14ac:dyDescent="0.25">
      <c r="A179">
        <v>1</v>
      </c>
      <c r="M179" s="54"/>
      <c r="AB179" t="s">
        <v>101</v>
      </c>
      <c r="AC179" s="54" t="e">
        <f t="shared" si="4"/>
        <v>#VALUE!</v>
      </c>
      <c r="AE179" s="54">
        <f t="shared" si="5"/>
        <v>0</v>
      </c>
    </row>
    <row r="180" spans="1:34" x14ac:dyDescent="0.25">
      <c r="A180">
        <v>1</v>
      </c>
      <c r="B180">
        <v>2017</v>
      </c>
      <c r="C180">
        <v>71</v>
      </c>
      <c r="D180" t="s">
        <v>82</v>
      </c>
      <c r="E180" t="s">
        <v>77</v>
      </c>
      <c r="F180">
        <v>18.64</v>
      </c>
      <c r="G180" t="s">
        <v>217</v>
      </c>
      <c r="H180">
        <v>2</v>
      </c>
      <c r="I180">
        <v>7</v>
      </c>
      <c r="J180">
        <v>22.151999999999997</v>
      </c>
      <c r="K180">
        <v>2017</v>
      </c>
      <c r="L180">
        <v>10</v>
      </c>
      <c r="M180" s="54">
        <f>AG180+AH180</f>
        <v>1837</v>
      </c>
      <c r="N180">
        <v>3</v>
      </c>
      <c r="O180">
        <v>3</v>
      </c>
      <c r="P180">
        <v>1</v>
      </c>
      <c r="Q180">
        <v>4</v>
      </c>
      <c r="R180">
        <v>3</v>
      </c>
      <c r="S180">
        <v>2</v>
      </c>
      <c r="T180" t="s">
        <v>218</v>
      </c>
      <c r="U180">
        <v>2</v>
      </c>
      <c r="V180">
        <v>20</v>
      </c>
      <c r="Y180">
        <v>6</v>
      </c>
      <c r="Z180">
        <v>10.119999999999999</v>
      </c>
      <c r="AB180">
        <v>0.21118147338112911</v>
      </c>
      <c r="AC180" s="54">
        <f t="shared" si="4"/>
        <v>3.9364226638242465</v>
      </c>
      <c r="AD180">
        <v>4.3627652477701471</v>
      </c>
      <c r="AE180" s="54">
        <f t="shared" si="5"/>
        <v>0.43627652477701473</v>
      </c>
      <c r="AG180">
        <v>887</v>
      </c>
      <c r="AH180" s="54">
        <v>950</v>
      </c>
    </row>
    <row r="181" spans="1:34" x14ac:dyDescent="0.25">
      <c r="A181">
        <v>1</v>
      </c>
    </row>
  </sheetData>
  <sheetProtection password="C2EC" sheet="1" objects="1" scenarios="1" selectLockedCells="1" selectUnlockedCells="1"/>
  <sortState xmlns:xlrd2="http://schemas.microsoft.com/office/spreadsheetml/2017/richdata2" ref="A1:Z579">
    <sortCondition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2" tint="-0.89999084444715716"/>
  </sheetPr>
  <dimension ref="A1:D32"/>
  <sheetViews>
    <sheetView workbookViewId="0">
      <selection activeCell="Z41" sqref="Z41"/>
    </sheetView>
  </sheetViews>
  <sheetFormatPr defaultRowHeight="15" x14ac:dyDescent="0.25"/>
  <cols>
    <col min="1" max="1" width="32.85546875" bestFit="1" customWidth="1"/>
    <col min="2" max="2" width="11.85546875" bestFit="1" customWidth="1"/>
    <col min="3" max="3" width="14" bestFit="1" customWidth="1"/>
    <col min="4" max="4" width="10.42578125" bestFit="1" customWidth="1"/>
  </cols>
  <sheetData>
    <row r="1" spans="1:4" x14ac:dyDescent="0.25">
      <c r="B1" s="189" t="s">
        <v>122</v>
      </c>
      <c r="C1" s="189"/>
      <c r="D1" s="189"/>
    </row>
    <row r="2" spans="1:4" x14ac:dyDescent="0.25">
      <c r="A2" t="s">
        <v>48</v>
      </c>
      <c r="B2" t="s">
        <v>289</v>
      </c>
      <c r="C2" t="s">
        <v>111</v>
      </c>
      <c r="D2" t="s">
        <v>112</v>
      </c>
    </row>
    <row r="3" spans="1:4" x14ac:dyDescent="0.25">
      <c r="A3" t="s">
        <v>87</v>
      </c>
      <c r="B3" s="9">
        <v>8.43</v>
      </c>
      <c r="C3" s="9">
        <v>4.51</v>
      </c>
      <c r="D3" s="9">
        <v>4.3899999999999997</v>
      </c>
    </row>
    <row r="4" spans="1:4" x14ac:dyDescent="0.25">
      <c r="A4" t="s">
        <v>19</v>
      </c>
      <c r="B4" s="9">
        <v>8.98</v>
      </c>
      <c r="C4" s="9">
        <v>6.31</v>
      </c>
      <c r="D4" s="9">
        <v>6.57</v>
      </c>
    </row>
    <row r="5" spans="1:4" x14ac:dyDescent="0.25">
      <c r="A5" t="s">
        <v>20</v>
      </c>
      <c r="B5" s="9">
        <v>71.41</v>
      </c>
      <c r="C5" s="9">
        <v>51.07</v>
      </c>
      <c r="D5" s="9">
        <v>50.54</v>
      </c>
    </row>
    <row r="6" spans="1:4" x14ac:dyDescent="0.25">
      <c r="A6" t="s">
        <v>21</v>
      </c>
      <c r="B6" s="9">
        <v>9.86</v>
      </c>
      <c r="C6" s="9">
        <v>5.84</v>
      </c>
      <c r="D6" s="9">
        <v>5.77</v>
      </c>
    </row>
    <row r="7" spans="1:4" x14ac:dyDescent="0.25">
      <c r="A7" t="s">
        <v>22</v>
      </c>
      <c r="B7" s="9">
        <v>10.01</v>
      </c>
      <c r="C7" s="9">
        <v>6.16</v>
      </c>
      <c r="D7" s="9">
        <v>6</v>
      </c>
    </row>
    <row r="8" spans="1:4" x14ac:dyDescent="0.25">
      <c r="A8" t="s">
        <v>23</v>
      </c>
      <c r="B8" s="9">
        <v>11.07</v>
      </c>
      <c r="C8" s="9">
        <v>5.43</v>
      </c>
      <c r="D8" s="9">
        <v>4.83</v>
      </c>
    </row>
    <row r="9" spans="1:4" x14ac:dyDescent="0.25">
      <c r="A9" t="s">
        <v>88</v>
      </c>
      <c r="B9" s="9">
        <v>6.94</v>
      </c>
      <c r="C9" s="9">
        <v>3.96</v>
      </c>
      <c r="D9" s="9">
        <v>3.85</v>
      </c>
    </row>
    <row r="10" spans="1:4" x14ac:dyDescent="0.25">
      <c r="A10" t="s">
        <v>89</v>
      </c>
      <c r="B10" s="9">
        <v>8.9700000000000006</v>
      </c>
      <c r="C10" s="9">
        <v>5.14</v>
      </c>
      <c r="D10" s="9">
        <v>5.03</v>
      </c>
    </row>
    <row r="11" spans="1:4" x14ac:dyDescent="0.25">
      <c r="A11" t="s">
        <v>26</v>
      </c>
      <c r="B11" s="9">
        <v>8.4499999999999993</v>
      </c>
      <c r="C11" s="9">
        <v>4.72</v>
      </c>
      <c r="D11" s="9">
        <v>4.7699999999999996</v>
      </c>
    </row>
    <row r="12" spans="1:4" x14ac:dyDescent="0.25">
      <c r="A12" t="s">
        <v>27</v>
      </c>
      <c r="B12" s="9">
        <v>9.17</v>
      </c>
      <c r="C12" s="9">
        <v>5.49</v>
      </c>
      <c r="D12" s="9">
        <v>5.38</v>
      </c>
    </row>
    <row r="13" spans="1:4" x14ac:dyDescent="0.25">
      <c r="A13" t="s">
        <v>28</v>
      </c>
      <c r="B13" s="9">
        <v>3.82</v>
      </c>
      <c r="C13" s="9">
        <v>1.7</v>
      </c>
      <c r="D13" s="9">
        <v>1.85</v>
      </c>
    </row>
    <row r="14" spans="1:4" x14ac:dyDescent="0.25">
      <c r="A14" t="s">
        <v>29</v>
      </c>
      <c r="B14" s="9">
        <v>9.83</v>
      </c>
      <c r="C14" s="9">
        <v>5.28</v>
      </c>
      <c r="D14" s="9">
        <v>4.96</v>
      </c>
    </row>
    <row r="15" spans="1:4" x14ac:dyDescent="0.25">
      <c r="A15" t="s">
        <v>30</v>
      </c>
      <c r="B15" s="9">
        <v>6.16</v>
      </c>
      <c r="C15" s="9">
        <v>2.97</v>
      </c>
      <c r="D15" s="9">
        <v>3.04</v>
      </c>
    </row>
    <row r="16" spans="1:4" x14ac:dyDescent="0.25">
      <c r="A16" t="s">
        <v>90</v>
      </c>
      <c r="B16" s="9">
        <v>6.23</v>
      </c>
      <c r="C16" s="9">
        <v>4.37</v>
      </c>
      <c r="D16" s="9">
        <v>4.5</v>
      </c>
    </row>
    <row r="17" spans="1:4" x14ac:dyDescent="0.25">
      <c r="A17" t="s">
        <v>91</v>
      </c>
      <c r="B17" s="9">
        <v>7.51</v>
      </c>
      <c r="C17" s="9">
        <v>3.32</v>
      </c>
      <c r="D17" s="9">
        <v>3.09</v>
      </c>
    </row>
    <row r="18" spans="1:4" x14ac:dyDescent="0.25">
      <c r="A18" t="s">
        <v>33</v>
      </c>
      <c r="B18" s="9">
        <v>18.41</v>
      </c>
      <c r="C18" s="9">
        <v>11.52</v>
      </c>
      <c r="D18" s="9">
        <v>11.18</v>
      </c>
    </row>
    <row r="19" spans="1:4" x14ac:dyDescent="0.25">
      <c r="A19" t="s">
        <v>34</v>
      </c>
      <c r="B19" s="9">
        <v>25.18</v>
      </c>
      <c r="C19" s="9">
        <v>17</v>
      </c>
      <c r="D19" s="9">
        <v>16.899999999999999</v>
      </c>
    </row>
    <row r="20" spans="1:4" x14ac:dyDescent="0.25">
      <c r="A20" t="s">
        <v>92</v>
      </c>
      <c r="B20" s="9">
        <v>3.95</v>
      </c>
      <c r="C20" s="9">
        <v>1.34</v>
      </c>
      <c r="D20" s="9">
        <v>1.26</v>
      </c>
    </row>
    <row r="21" spans="1:4" x14ac:dyDescent="0.25">
      <c r="A21" t="s">
        <v>36</v>
      </c>
      <c r="B21" s="9">
        <v>10.78</v>
      </c>
      <c r="C21" s="9">
        <v>6.59</v>
      </c>
      <c r="D21" s="9">
        <v>6.57</v>
      </c>
    </row>
    <row r="22" spans="1:4" x14ac:dyDescent="0.25">
      <c r="A22" t="s">
        <v>37</v>
      </c>
      <c r="B22" s="9">
        <v>8</v>
      </c>
      <c r="C22" s="9">
        <v>4.34</v>
      </c>
      <c r="D22" s="9">
        <v>4.0999999999999996</v>
      </c>
    </row>
    <row r="23" spans="1:4" x14ac:dyDescent="0.25">
      <c r="A23" t="s">
        <v>38</v>
      </c>
      <c r="B23" s="9">
        <v>21.56</v>
      </c>
      <c r="C23" s="9">
        <v>13.44</v>
      </c>
      <c r="D23" s="9">
        <v>12.69</v>
      </c>
    </row>
    <row r="24" spans="1:4" x14ac:dyDescent="0.25">
      <c r="A24" t="s">
        <v>39</v>
      </c>
      <c r="B24" s="9">
        <v>24.31</v>
      </c>
      <c r="C24" s="9">
        <v>16.59</v>
      </c>
      <c r="D24" s="9">
        <v>16.440000000000001</v>
      </c>
    </row>
    <row r="25" spans="1:4" x14ac:dyDescent="0.25">
      <c r="A25" t="s">
        <v>40</v>
      </c>
      <c r="B25" s="9">
        <v>34.85</v>
      </c>
      <c r="C25" s="9">
        <v>23.78</v>
      </c>
      <c r="D25" s="9">
        <v>23.29</v>
      </c>
    </row>
    <row r="26" spans="1:4" x14ac:dyDescent="0.25">
      <c r="A26" t="s">
        <v>41</v>
      </c>
      <c r="B26" s="9">
        <v>10.32</v>
      </c>
      <c r="C26" s="9">
        <v>5.78</v>
      </c>
      <c r="D26" s="9">
        <v>5.59</v>
      </c>
    </row>
    <row r="27" spans="1:4" x14ac:dyDescent="0.25">
      <c r="A27" t="s">
        <v>42</v>
      </c>
      <c r="B27" s="9">
        <v>5.78</v>
      </c>
      <c r="C27" s="9">
        <v>3.12</v>
      </c>
      <c r="D27" s="9">
        <v>3</v>
      </c>
    </row>
    <row r="28" spans="1:4" x14ac:dyDescent="0.25">
      <c r="A28" t="s">
        <v>93</v>
      </c>
      <c r="B28" s="9">
        <v>7.37</v>
      </c>
      <c r="C28" s="9">
        <v>2.36</v>
      </c>
      <c r="D28" s="9">
        <v>1.95</v>
      </c>
    </row>
    <row r="29" spans="1:4" x14ac:dyDescent="0.25">
      <c r="A29" t="s">
        <v>44</v>
      </c>
      <c r="B29" s="9">
        <v>11.19</v>
      </c>
      <c r="C29" s="9">
        <v>6.32</v>
      </c>
      <c r="D29" s="9">
        <v>6.02</v>
      </c>
    </row>
    <row r="30" spans="1:4" x14ac:dyDescent="0.25">
      <c r="A30" t="s">
        <v>80</v>
      </c>
      <c r="B30" s="9">
        <v>6.85</v>
      </c>
      <c r="C30" s="9">
        <v>2.39</v>
      </c>
      <c r="D30" s="9">
        <v>2.04</v>
      </c>
    </row>
    <row r="31" spans="1:4" x14ac:dyDescent="0.25">
      <c r="A31" t="s">
        <v>81</v>
      </c>
      <c r="B31" s="9">
        <v>11.15</v>
      </c>
      <c r="C31" s="9">
        <v>6.58</v>
      </c>
      <c r="D31" s="9">
        <v>6.32</v>
      </c>
    </row>
    <row r="32" spans="1:4" x14ac:dyDescent="0.25">
      <c r="A32" t="s">
        <v>82</v>
      </c>
      <c r="B32" s="9">
        <v>9.51</v>
      </c>
      <c r="C32" s="9">
        <v>5.18</v>
      </c>
      <c r="D32" s="9">
        <v>4.96</v>
      </c>
    </row>
  </sheetData>
  <sheetProtection password="C2EC" sheet="1" objects="1" scenarios="1" selectLockedCells="1" selectUnlockedCells="1"/>
  <mergeCells count="1">
    <mergeCell ref="B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2" tint="-0.89999084444715716"/>
  </sheetPr>
  <dimension ref="A1:F32"/>
  <sheetViews>
    <sheetView workbookViewId="0">
      <selection activeCell="Z41" sqref="Z41"/>
    </sheetView>
  </sheetViews>
  <sheetFormatPr defaultColWidth="29.42578125" defaultRowHeight="15" x14ac:dyDescent="0.25"/>
  <cols>
    <col min="1" max="16384" width="29.42578125" style="19"/>
  </cols>
  <sheetData>
    <row r="1" spans="1:6" x14ac:dyDescent="0.25">
      <c r="A1" s="17" t="s">
        <v>57</v>
      </c>
      <c r="B1" s="18" t="s">
        <v>117</v>
      </c>
      <c r="C1" s="18" t="s">
        <v>118</v>
      </c>
      <c r="D1" s="19" t="s">
        <v>58</v>
      </c>
      <c r="E1" s="19" t="s">
        <v>119</v>
      </c>
      <c r="F1" s="19" t="s">
        <v>120</v>
      </c>
    </row>
    <row r="2" spans="1:6" x14ac:dyDescent="0.25">
      <c r="A2" s="17" t="s">
        <v>18</v>
      </c>
      <c r="B2" s="18">
        <v>0.109701611102</v>
      </c>
      <c r="C2" s="18">
        <v>6.6313929855799994E-2</v>
      </c>
      <c r="D2" s="19">
        <v>9.8284324819200963E-2</v>
      </c>
      <c r="E2" s="19">
        <f>B2/D2</f>
        <v>1.1161658922091768</v>
      </c>
      <c r="F2" s="19">
        <f>C2/D2</f>
        <v>0.67471522013085872</v>
      </c>
    </row>
    <row r="3" spans="1:6" x14ac:dyDescent="0.25">
      <c r="A3" s="17" t="s">
        <v>19</v>
      </c>
      <c r="B3" s="18">
        <v>0.12568150460700001</v>
      </c>
      <c r="C3" s="18">
        <v>7.1627587079999999E-2</v>
      </c>
      <c r="D3" s="19">
        <v>0.11269956924464498</v>
      </c>
      <c r="E3" s="19">
        <f t="shared" ref="E3:E30" si="0">B3/D3</f>
        <v>1.1151906386986645</v>
      </c>
      <c r="F3" s="19">
        <f t="shared" ref="F3:F31" si="1">C3/D3</f>
        <v>0.63556220809072383</v>
      </c>
    </row>
    <row r="4" spans="1:6" x14ac:dyDescent="0.25">
      <c r="A4" s="17" t="s">
        <v>20</v>
      </c>
      <c r="B4" s="18">
        <v>0.14541593193999999</v>
      </c>
      <c r="C4" s="18">
        <v>9.5482781529399999E-2</v>
      </c>
      <c r="D4" s="19">
        <v>0.11900128127726343</v>
      </c>
      <c r="E4" s="19">
        <f t="shared" si="0"/>
        <v>1.2219694643555352</v>
      </c>
      <c r="F4" s="19">
        <f t="shared" si="1"/>
        <v>0.80236767625159244</v>
      </c>
    </row>
    <row r="5" spans="1:6" x14ac:dyDescent="0.25">
      <c r="A5" s="17" t="s">
        <v>21</v>
      </c>
      <c r="B5" s="18">
        <v>0.122204370797</v>
      </c>
      <c r="C5" s="18">
        <v>7.9541228711600007E-2</v>
      </c>
      <c r="D5" s="19">
        <v>0.11496840077573459</v>
      </c>
      <c r="E5" s="19">
        <f t="shared" si="0"/>
        <v>1.0629387725013275</v>
      </c>
      <c r="F5" s="19">
        <f t="shared" si="1"/>
        <v>0.69185296285680009</v>
      </c>
    </row>
    <row r="6" spans="1:6" x14ac:dyDescent="0.25">
      <c r="A6" s="17" t="s">
        <v>22</v>
      </c>
      <c r="B6" s="18">
        <v>0.20104534924</v>
      </c>
      <c r="C6" s="18">
        <v>0.109461501241</v>
      </c>
      <c r="D6" s="19">
        <v>0.1506498144347278</v>
      </c>
      <c r="E6" s="19">
        <f t="shared" si="0"/>
        <v>1.3345210546350001</v>
      </c>
      <c r="F6" s="19">
        <f t="shared" si="1"/>
        <v>0.72659565928922198</v>
      </c>
    </row>
    <row r="7" spans="1:6" x14ac:dyDescent="0.25">
      <c r="A7" s="17" t="s">
        <v>23</v>
      </c>
      <c r="B7" s="18">
        <v>8.6204923689399998E-2</v>
      </c>
      <c r="C7" s="18">
        <v>5.3275633603300003E-2</v>
      </c>
      <c r="D7" s="19">
        <v>8.1176077676095207E-2</v>
      </c>
      <c r="E7" s="19">
        <f t="shared" si="0"/>
        <v>1.0619498521888511</v>
      </c>
      <c r="F7" s="19">
        <f t="shared" si="1"/>
        <v>0.65629721376632433</v>
      </c>
    </row>
    <row r="8" spans="1:6" x14ac:dyDescent="0.25">
      <c r="A8" s="17" t="s">
        <v>24</v>
      </c>
      <c r="B8" s="18">
        <v>0.20777809619900001</v>
      </c>
      <c r="C8" s="18">
        <v>0.112449906766</v>
      </c>
      <c r="D8" s="19">
        <v>0.16064032824919877</v>
      </c>
      <c r="E8" s="19">
        <f t="shared" si="0"/>
        <v>1.2934367008804737</v>
      </c>
      <c r="F8" s="19">
        <f t="shared" si="1"/>
        <v>0.70001043941816565</v>
      </c>
    </row>
    <row r="9" spans="1:6" x14ac:dyDescent="0.25">
      <c r="A9" s="17" t="s">
        <v>25</v>
      </c>
      <c r="B9" s="18">
        <v>0.21170499920800001</v>
      </c>
      <c r="C9" s="18">
        <v>0.121529579163</v>
      </c>
      <c r="D9" s="19">
        <v>0.18029062434236398</v>
      </c>
      <c r="E9" s="19">
        <f t="shared" si="0"/>
        <v>1.1742429756412709</v>
      </c>
      <c r="F9" s="19">
        <f t="shared" si="1"/>
        <v>0.67407597930450702</v>
      </c>
    </row>
    <row r="10" spans="1:6" x14ac:dyDescent="0.25">
      <c r="A10" s="17" t="s">
        <v>26</v>
      </c>
      <c r="B10" s="18">
        <v>0.150594681501</v>
      </c>
      <c r="C10" s="18">
        <v>0.119658567011</v>
      </c>
      <c r="D10" s="19">
        <v>0.14415967175862368</v>
      </c>
      <c r="E10" s="19">
        <f t="shared" si="0"/>
        <v>1.0446380715485457</v>
      </c>
      <c r="F10" s="19">
        <f t="shared" si="1"/>
        <v>0.83004189418072805</v>
      </c>
    </row>
    <row r="11" spans="1:6" x14ac:dyDescent="0.25">
      <c r="A11" s="17" t="s">
        <v>27</v>
      </c>
      <c r="B11" s="18">
        <v>0.20268429815799999</v>
      </c>
      <c r="C11" s="18">
        <v>0.108855977654</v>
      </c>
      <c r="D11" s="19">
        <v>0.14685008598327975</v>
      </c>
      <c r="E11" s="19">
        <f t="shared" si="0"/>
        <v>1.380212321980373</v>
      </c>
      <c r="F11" s="19">
        <f t="shared" si="1"/>
        <v>0.74127282204243494</v>
      </c>
    </row>
    <row r="12" spans="1:6" x14ac:dyDescent="0.25">
      <c r="A12" s="17" t="s">
        <v>28</v>
      </c>
      <c r="B12" s="18">
        <v>0.124370992184</v>
      </c>
      <c r="C12" s="18">
        <v>0.120658747852</v>
      </c>
      <c r="D12" s="19">
        <v>0.12388909471908724</v>
      </c>
      <c r="E12" s="19">
        <f t="shared" si="0"/>
        <v>1.0038897488596994</v>
      </c>
      <c r="F12" s="19">
        <f t="shared" si="1"/>
        <v>0.97392549461748912</v>
      </c>
    </row>
    <row r="13" spans="1:6" x14ac:dyDescent="0.25">
      <c r="A13" s="17" t="s">
        <v>29</v>
      </c>
      <c r="B13" s="18">
        <v>0.20242068171499999</v>
      </c>
      <c r="C13" s="18">
        <v>0.108616761863</v>
      </c>
      <c r="D13" s="19">
        <v>0.16174574693147703</v>
      </c>
      <c r="E13" s="19">
        <f t="shared" si="0"/>
        <v>1.2514745244012799</v>
      </c>
      <c r="F13" s="19">
        <f t="shared" si="1"/>
        <v>0.67152777691901278</v>
      </c>
    </row>
    <row r="14" spans="1:6" x14ac:dyDescent="0.25">
      <c r="A14" s="17" t="s">
        <v>30</v>
      </c>
      <c r="B14" s="18">
        <v>0.12509131431600001</v>
      </c>
      <c r="C14" s="18">
        <v>0.11590237170500001</v>
      </c>
      <c r="D14" s="19">
        <v>0.12386814471050991</v>
      </c>
      <c r="E14" s="19">
        <f t="shared" si="0"/>
        <v>1.0098747713413223</v>
      </c>
      <c r="F14" s="19">
        <f t="shared" si="1"/>
        <v>0.93569151274424445</v>
      </c>
    </row>
    <row r="15" spans="1:6" x14ac:dyDescent="0.25">
      <c r="A15" s="17" t="s">
        <v>31</v>
      </c>
      <c r="B15" s="18">
        <v>0.21427552402</v>
      </c>
      <c r="C15" s="18">
        <v>0.114003747702</v>
      </c>
      <c r="D15" s="19">
        <v>0.16143304995598312</v>
      </c>
      <c r="E15" s="19">
        <f t="shared" si="0"/>
        <v>1.3273336784408465</v>
      </c>
      <c r="F15" s="19">
        <f t="shared" si="1"/>
        <v>0.70619831399508748</v>
      </c>
    </row>
    <row r="16" spans="1:6" x14ac:dyDescent="0.25">
      <c r="A16" s="17" t="s">
        <v>32</v>
      </c>
      <c r="B16" s="18">
        <v>0.17770977318299999</v>
      </c>
      <c r="C16" s="18">
        <v>0.142923742533</v>
      </c>
      <c r="D16" s="19">
        <v>0.168021560216013</v>
      </c>
      <c r="E16" s="19">
        <f t="shared" si="0"/>
        <v>1.057660534484572</v>
      </c>
      <c r="F16" s="19">
        <f t="shared" si="1"/>
        <v>0.85062739775332064</v>
      </c>
    </row>
    <row r="17" spans="1:6" x14ac:dyDescent="0.25">
      <c r="A17" s="17" t="s">
        <v>33</v>
      </c>
      <c r="B17" s="18">
        <v>0.15598645806299999</v>
      </c>
      <c r="C17" s="18">
        <v>9.8482996225399994E-2</v>
      </c>
      <c r="D17" s="19">
        <v>0.12776792547365493</v>
      </c>
      <c r="E17" s="19">
        <f t="shared" si="0"/>
        <v>1.220857719061609</v>
      </c>
      <c r="F17" s="19">
        <f t="shared" si="1"/>
        <v>0.77079592440989164</v>
      </c>
    </row>
    <row r="18" spans="1:6" x14ac:dyDescent="0.25">
      <c r="A18" s="17" t="s">
        <v>34</v>
      </c>
      <c r="B18" s="18">
        <v>0.193653643131</v>
      </c>
      <c r="C18" s="18">
        <v>0.105143792927</v>
      </c>
      <c r="D18" s="19">
        <v>0.16513278338138215</v>
      </c>
      <c r="E18" s="19">
        <f t="shared" si="0"/>
        <v>1.1727147036802956</v>
      </c>
      <c r="F18" s="19">
        <f t="shared" si="1"/>
        <v>0.63672270747211546</v>
      </c>
    </row>
    <row r="19" spans="1:6" x14ac:dyDescent="0.25">
      <c r="A19" s="17" t="s">
        <v>35</v>
      </c>
      <c r="B19" s="18">
        <v>2.05200612545E-2</v>
      </c>
      <c r="C19" s="18">
        <v>1.84759907424E-2</v>
      </c>
      <c r="D19" s="19">
        <v>2.0260775643324545E-2</v>
      </c>
      <c r="E19" s="19">
        <f t="shared" si="0"/>
        <v>1.0127974178155852</v>
      </c>
      <c r="F19" s="19">
        <f t="shared" si="1"/>
        <v>0.9119093497532218</v>
      </c>
    </row>
    <row r="20" spans="1:6" x14ac:dyDescent="0.25">
      <c r="A20" s="17" t="s">
        <v>36</v>
      </c>
      <c r="B20" s="18">
        <v>0.16058462858200001</v>
      </c>
      <c r="C20" s="18">
        <v>0.10136214643700001</v>
      </c>
      <c r="D20" s="19">
        <v>0.15039491520805517</v>
      </c>
      <c r="E20" s="19">
        <f t="shared" si="0"/>
        <v>1.0677530444420176</v>
      </c>
      <c r="F20" s="19">
        <f t="shared" si="1"/>
        <v>0.67397322773031509</v>
      </c>
    </row>
    <row r="21" spans="1:6" x14ac:dyDescent="0.25">
      <c r="A21" s="17" t="s">
        <v>37</v>
      </c>
      <c r="B21" s="18">
        <v>0.21641969680799999</v>
      </c>
      <c r="C21" s="18">
        <v>0.11525218933799999</v>
      </c>
      <c r="D21" s="19">
        <v>0.17928048669665814</v>
      </c>
      <c r="E21" s="19">
        <f t="shared" si="0"/>
        <v>1.2071570129892677</v>
      </c>
      <c r="F21" s="19">
        <f t="shared" si="1"/>
        <v>0.64285964112204941</v>
      </c>
    </row>
    <row r="22" spans="1:6" x14ac:dyDescent="0.25">
      <c r="A22" s="17" t="s">
        <v>38</v>
      </c>
      <c r="B22" s="18">
        <v>0.204222157598</v>
      </c>
      <c r="C22" s="18">
        <v>0.114959210157</v>
      </c>
      <c r="D22" s="19">
        <v>0.16799711337577766</v>
      </c>
      <c r="E22" s="19">
        <f t="shared" si="0"/>
        <v>1.2156289682263397</v>
      </c>
      <c r="F22" s="19">
        <f t="shared" si="1"/>
        <v>0.68429277055408722</v>
      </c>
    </row>
    <row r="23" spans="1:6" x14ac:dyDescent="0.25">
      <c r="A23" s="17" t="s">
        <v>39</v>
      </c>
      <c r="B23" s="18">
        <v>0.1409432441</v>
      </c>
      <c r="C23" s="18">
        <v>7.5692817568800003E-2</v>
      </c>
      <c r="D23" s="19">
        <v>0.11808570957772652</v>
      </c>
      <c r="E23" s="19">
        <f t="shared" si="0"/>
        <v>1.1935673216006564</v>
      </c>
      <c r="F23" s="19">
        <f t="shared" si="1"/>
        <v>0.64099896456122307</v>
      </c>
    </row>
    <row r="24" spans="1:6" x14ac:dyDescent="0.25">
      <c r="A24" s="17" t="s">
        <v>40</v>
      </c>
      <c r="B24" s="18">
        <v>0.15000009536700001</v>
      </c>
      <c r="C24" s="18">
        <v>9.69584584236E-2</v>
      </c>
      <c r="D24" s="19">
        <v>0.12262445032792736</v>
      </c>
      <c r="E24" s="19">
        <f t="shared" si="0"/>
        <v>1.2232478511900651</v>
      </c>
      <c r="F24" s="19">
        <f t="shared" si="1"/>
        <v>0.79069433676815426</v>
      </c>
    </row>
    <row r="25" spans="1:6" x14ac:dyDescent="0.25">
      <c r="A25" s="17" t="s">
        <v>41</v>
      </c>
      <c r="B25" s="18">
        <v>0.20577840507</v>
      </c>
      <c r="C25" s="18">
        <v>0.12532407045399999</v>
      </c>
      <c r="D25" s="19">
        <v>0.17768357555945685</v>
      </c>
      <c r="E25" s="19">
        <f t="shared" si="0"/>
        <v>1.1581172003213207</v>
      </c>
      <c r="F25" s="19">
        <f t="shared" si="1"/>
        <v>0.70532163740741349</v>
      </c>
    </row>
    <row r="26" spans="1:6" x14ac:dyDescent="0.25">
      <c r="A26" s="17" t="s">
        <v>42</v>
      </c>
      <c r="B26" s="18">
        <v>0.203097581863</v>
      </c>
      <c r="C26" s="18">
        <v>0.112801648676</v>
      </c>
      <c r="D26" s="19">
        <v>0.16277484198125614</v>
      </c>
      <c r="E26" s="19">
        <f t="shared" si="0"/>
        <v>1.2477209585396933</v>
      </c>
      <c r="F26" s="19">
        <f t="shared" si="1"/>
        <v>0.69299191019327999</v>
      </c>
    </row>
    <row r="27" spans="1:6" x14ac:dyDescent="0.25">
      <c r="A27" s="17" t="s">
        <v>43</v>
      </c>
      <c r="B27" s="18">
        <v>0.13133002817600001</v>
      </c>
      <c r="C27" s="18">
        <v>0.12625715136499999</v>
      </c>
      <c r="D27" s="19">
        <v>0.13070170232657907</v>
      </c>
      <c r="E27" s="19">
        <f t="shared" si="0"/>
        <v>1.0048073272056623</v>
      </c>
      <c r="F27" s="19">
        <f t="shared" si="1"/>
        <v>0.96599469721921705</v>
      </c>
    </row>
    <row r="28" spans="1:6" x14ac:dyDescent="0.25">
      <c r="A28" s="17" t="s">
        <v>44</v>
      </c>
      <c r="B28" s="18">
        <v>0.19130799174300001</v>
      </c>
      <c r="C28" s="18">
        <v>0.106912821531</v>
      </c>
      <c r="D28" s="19">
        <v>0.15298800214515546</v>
      </c>
      <c r="E28" s="19">
        <f t="shared" si="0"/>
        <v>1.2504770901020488</v>
      </c>
      <c r="F28" s="19">
        <f t="shared" si="1"/>
        <v>0.69883141182248265</v>
      </c>
    </row>
    <row r="29" spans="1:6" x14ac:dyDescent="0.25">
      <c r="A29" s="17" t="s">
        <v>45</v>
      </c>
      <c r="B29" s="18">
        <v>0.127042084932</v>
      </c>
      <c r="C29" s="18">
        <v>0.11913023144</v>
      </c>
      <c r="D29" s="19">
        <v>0.12574565963676104</v>
      </c>
      <c r="E29" s="19">
        <f t="shared" si="0"/>
        <v>1.0103099009459564</v>
      </c>
      <c r="F29" s="19">
        <f t="shared" si="1"/>
        <v>0.94739040523648377</v>
      </c>
    </row>
    <row r="30" spans="1:6" x14ac:dyDescent="0.25">
      <c r="A30" s="17" t="s">
        <v>46</v>
      </c>
      <c r="B30" s="18">
        <v>0.22020246088500001</v>
      </c>
      <c r="C30" s="18">
        <v>0.118715189397</v>
      </c>
      <c r="D30" s="19">
        <v>0.17576217909227787</v>
      </c>
      <c r="E30" s="19">
        <f t="shared" si="0"/>
        <v>1.2528432568498726</v>
      </c>
      <c r="F30" s="19">
        <f t="shared" si="1"/>
        <v>0.67543080092715901</v>
      </c>
    </row>
    <row r="31" spans="1:6" x14ac:dyDescent="0.25">
      <c r="A31" s="17" t="s">
        <v>47</v>
      </c>
      <c r="B31" s="18">
        <v>0.211635291576</v>
      </c>
      <c r="C31" s="18">
        <v>0.114030838013</v>
      </c>
      <c r="D31" s="19">
        <v>0.17796031533766749</v>
      </c>
      <c r="E31" s="19">
        <f>B31/D31</f>
        <v>1.189227447560073</v>
      </c>
      <c r="F31" s="19">
        <f t="shared" si="1"/>
        <v>0.6407655425684895</v>
      </c>
    </row>
    <row r="32" spans="1:6" x14ac:dyDescent="0.25">
      <c r="A32" s="17"/>
      <c r="B32" s="18"/>
      <c r="C32" s="18"/>
    </row>
  </sheetData>
  <sheetProtection password="C2EC" sheet="1" objects="1" scenarios="1" selectLockedCells="1" selectUn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2" tint="-0.89999084444715716"/>
  </sheetPr>
  <dimension ref="A1:G7"/>
  <sheetViews>
    <sheetView workbookViewId="0">
      <selection activeCell="Z41" sqref="Z41"/>
    </sheetView>
  </sheetViews>
  <sheetFormatPr defaultRowHeight="15" x14ac:dyDescent="0.25"/>
  <cols>
    <col min="1" max="1" width="24.28515625" style="3" bestFit="1" customWidth="1"/>
    <col min="2" max="2" width="31.7109375" style="3" bestFit="1" customWidth="1"/>
    <col min="3" max="3" width="31.7109375" style="3" customWidth="1"/>
    <col min="4" max="5" width="25.85546875" style="3" bestFit="1" customWidth="1"/>
    <col min="6" max="6" width="13.5703125" style="3" bestFit="1" customWidth="1"/>
    <col min="7" max="7" width="18.140625" style="3" bestFit="1" customWidth="1"/>
    <col min="8" max="16384" width="9.140625" style="3"/>
  </cols>
  <sheetData>
    <row r="1" spans="1:7" x14ac:dyDescent="0.25">
      <c r="A1" s="3" t="s">
        <v>124</v>
      </c>
      <c r="B1" s="3" t="s">
        <v>183</v>
      </c>
      <c r="C1" s="3" t="s">
        <v>0</v>
      </c>
      <c r="D1" s="3" t="s">
        <v>1</v>
      </c>
      <c r="G1" s="3" t="s">
        <v>226</v>
      </c>
    </row>
    <row r="2" spans="1:7" x14ac:dyDescent="0.25">
      <c r="A2" s="3" t="s">
        <v>2</v>
      </c>
      <c r="B2" s="3" t="s">
        <v>3</v>
      </c>
      <c r="C2" s="3" t="s">
        <v>4</v>
      </c>
      <c r="D2" s="3" t="s">
        <v>5</v>
      </c>
      <c r="G2" s="3" t="s">
        <v>227</v>
      </c>
    </row>
    <row r="3" spans="1:7" x14ac:dyDescent="0.25">
      <c r="A3" s="3" t="s">
        <v>68</v>
      </c>
      <c r="B3" s="3" t="s">
        <v>192</v>
      </c>
      <c r="C3" s="3" t="s">
        <v>191</v>
      </c>
      <c r="D3" s="3" t="s">
        <v>69</v>
      </c>
      <c r="G3" s="3" t="s">
        <v>228</v>
      </c>
    </row>
    <row r="4" spans="1:7" x14ac:dyDescent="0.25">
      <c r="A4" s="3" t="s">
        <v>6</v>
      </c>
      <c r="B4" s="3" t="s">
        <v>7</v>
      </c>
      <c r="C4" s="3" t="s">
        <v>8</v>
      </c>
      <c r="D4" s="3" t="s">
        <v>9</v>
      </c>
    </row>
    <row r="5" spans="1:7" x14ac:dyDescent="0.25">
      <c r="A5" s="3" t="s">
        <v>10</v>
      </c>
      <c r="B5" s="3" t="s">
        <v>7</v>
      </c>
      <c r="C5" s="3" t="s">
        <v>8</v>
      </c>
      <c r="D5" s="3" t="s">
        <v>9</v>
      </c>
    </row>
    <row r="6" spans="1:7" x14ac:dyDescent="0.25">
      <c r="A6" s="3" t="s">
        <v>11</v>
      </c>
      <c r="B6" s="3" t="s">
        <v>12</v>
      </c>
      <c r="C6" s="3" t="s">
        <v>13</v>
      </c>
      <c r="D6" s="3" t="s">
        <v>14</v>
      </c>
    </row>
    <row r="7" spans="1:7" x14ac:dyDescent="0.25">
      <c r="A7" s="3" t="s">
        <v>15</v>
      </c>
      <c r="B7" s="3" t="s">
        <v>16</v>
      </c>
      <c r="C7" s="3" t="s">
        <v>17</v>
      </c>
      <c r="D7" s="3" t="s">
        <v>17</v>
      </c>
    </row>
  </sheetData>
  <sheetProtection password="C2EC" sheet="1" objects="1" scenarios="1" selectLockedCells="1" selectUn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2" tint="-0.89999084444715716"/>
  </sheetPr>
  <dimension ref="A1:AI43"/>
  <sheetViews>
    <sheetView zoomScale="85" zoomScaleNormal="85" workbookViewId="0">
      <selection activeCell="Z30" sqref="Z30"/>
    </sheetView>
  </sheetViews>
  <sheetFormatPr defaultRowHeight="15" x14ac:dyDescent="0.25"/>
  <cols>
    <col min="1" max="1" width="32.85546875" style="3" bestFit="1" customWidth="1"/>
    <col min="2" max="27" width="8" style="3" customWidth="1"/>
    <col min="28" max="16384" width="9.140625" style="3"/>
  </cols>
  <sheetData>
    <row r="1" spans="1:29" s="7" customFormat="1" ht="45.75" customHeight="1" x14ac:dyDescent="0.25">
      <c r="B1" s="188" t="s">
        <v>133</v>
      </c>
      <c r="C1" s="188"/>
      <c r="D1" s="188" t="s">
        <v>134</v>
      </c>
      <c r="E1" s="188"/>
      <c r="F1" s="188" t="s">
        <v>135</v>
      </c>
      <c r="G1" s="188"/>
      <c r="H1" s="188" t="s">
        <v>136</v>
      </c>
      <c r="I1" s="188"/>
      <c r="J1" s="188" t="s">
        <v>137</v>
      </c>
      <c r="K1" s="188"/>
      <c r="L1" s="188" t="s">
        <v>138</v>
      </c>
      <c r="M1" s="188"/>
      <c r="N1" s="188" t="s">
        <v>139</v>
      </c>
      <c r="O1" s="188"/>
      <c r="P1" s="188" t="s">
        <v>140</v>
      </c>
      <c r="Q1" s="188"/>
      <c r="R1" s="188" t="s">
        <v>141</v>
      </c>
      <c r="S1" s="188"/>
      <c r="T1" s="188" t="s">
        <v>142</v>
      </c>
      <c r="U1" s="188"/>
      <c r="V1" s="188" t="s">
        <v>143</v>
      </c>
      <c r="W1" s="188"/>
      <c r="X1" s="188" t="s">
        <v>144</v>
      </c>
      <c r="Y1" s="188"/>
      <c r="Z1" s="188" t="s">
        <v>150</v>
      </c>
      <c r="AA1" s="188"/>
      <c r="AB1" s="188" t="s">
        <v>193</v>
      </c>
      <c r="AC1" s="188"/>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row>
    <row r="3" spans="1:29" x14ac:dyDescent="0.25">
      <c r="A3" s="3" t="s">
        <v>87</v>
      </c>
      <c r="B3" s="45"/>
      <c r="C3" s="45"/>
      <c r="D3" s="43">
        <v>1</v>
      </c>
      <c r="E3" s="43">
        <v>1</v>
      </c>
      <c r="F3" s="42">
        <v>1</v>
      </c>
      <c r="G3" s="42">
        <v>1</v>
      </c>
      <c r="H3" s="43">
        <v>1</v>
      </c>
      <c r="I3" s="43">
        <v>1</v>
      </c>
      <c r="J3" s="43">
        <v>1</v>
      </c>
      <c r="K3" s="43">
        <v>1</v>
      </c>
      <c r="L3" s="42"/>
      <c r="M3" s="42"/>
      <c r="N3" s="43">
        <v>1</v>
      </c>
      <c r="O3" s="44">
        <v>1</v>
      </c>
      <c r="P3" s="43"/>
      <c r="Q3" s="44"/>
      <c r="R3" s="42">
        <v>1</v>
      </c>
      <c r="S3" s="44">
        <v>1</v>
      </c>
      <c r="T3" s="42">
        <v>1</v>
      </c>
      <c r="U3" s="44">
        <v>1</v>
      </c>
      <c r="V3" s="43">
        <v>1</v>
      </c>
      <c r="W3" s="44">
        <v>1</v>
      </c>
      <c r="X3" s="43"/>
      <c r="Y3" s="44"/>
      <c r="Z3" s="43">
        <v>1</v>
      </c>
      <c r="AA3" s="43">
        <v>1</v>
      </c>
    </row>
    <row r="4" spans="1:29" x14ac:dyDescent="0.25">
      <c r="A4" s="3" t="s">
        <v>19</v>
      </c>
      <c r="B4" s="43"/>
      <c r="C4" s="43"/>
      <c r="D4" s="43">
        <v>1</v>
      </c>
      <c r="E4" s="43">
        <v>1</v>
      </c>
      <c r="F4" s="43">
        <v>1</v>
      </c>
      <c r="G4" s="43">
        <v>1</v>
      </c>
      <c r="H4" s="43">
        <v>1</v>
      </c>
      <c r="I4" s="43">
        <v>1</v>
      </c>
      <c r="J4" s="43">
        <v>1</v>
      </c>
      <c r="K4" s="43">
        <v>1</v>
      </c>
      <c r="L4" s="42"/>
      <c r="M4" s="42"/>
      <c r="N4" s="43"/>
      <c r="O4" s="44"/>
      <c r="P4" s="43"/>
      <c r="Q4" s="44"/>
      <c r="R4" s="43">
        <v>1</v>
      </c>
      <c r="S4" s="44">
        <v>1</v>
      </c>
      <c r="T4" s="43">
        <v>1</v>
      </c>
      <c r="U4" s="44">
        <v>1</v>
      </c>
      <c r="V4" s="43"/>
      <c r="W4" s="44"/>
      <c r="X4" s="43"/>
      <c r="Y4" s="44"/>
      <c r="Z4" s="43">
        <v>1</v>
      </c>
      <c r="AA4" s="43">
        <v>1</v>
      </c>
      <c r="AB4" s="3">
        <v>1</v>
      </c>
      <c r="AC4" s="3">
        <v>1</v>
      </c>
    </row>
    <row r="5" spans="1:29" x14ac:dyDescent="0.25">
      <c r="A5" s="3" t="s">
        <v>20</v>
      </c>
      <c r="B5" s="43">
        <v>1</v>
      </c>
      <c r="C5" s="43">
        <v>1</v>
      </c>
      <c r="D5" s="43">
        <v>1</v>
      </c>
      <c r="E5" s="43">
        <v>1</v>
      </c>
      <c r="F5" s="43">
        <v>1</v>
      </c>
      <c r="G5" s="43">
        <v>1</v>
      </c>
      <c r="H5" s="43">
        <v>1</v>
      </c>
      <c r="I5" s="43">
        <v>1</v>
      </c>
      <c r="J5" s="43">
        <v>1</v>
      </c>
      <c r="K5" s="43">
        <v>1</v>
      </c>
      <c r="L5" s="43">
        <v>1</v>
      </c>
      <c r="M5" s="43">
        <v>1</v>
      </c>
      <c r="N5" s="43">
        <v>1</v>
      </c>
      <c r="O5" s="44">
        <v>1</v>
      </c>
      <c r="P5" s="43">
        <v>1</v>
      </c>
      <c r="Q5" s="44">
        <v>1</v>
      </c>
      <c r="R5" s="43">
        <v>1</v>
      </c>
      <c r="S5" s="44">
        <v>1</v>
      </c>
      <c r="T5" s="43">
        <v>1</v>
      </c>
      <c r="U5" s="44">
        <v>1</v>
      </c>
      <c r="V5" s="43">
        <v>1</v>
      </c>
      <c r="W5" s="44">
        <v>1</v>
      </c>
      <c r="X5" s="43"/>
      <c r="Y5" s="44"/>
      <c r="Z5" s="43"/>
      <c r="AA5" s="43"/>
    </row>
    <row r="6" spans="1:29" x14ac:dyDescent="0.25">
      <c r="A6" s="3" t="s">
        <v>21</v>
      </c>
      <c r="B6" s="43"/>
      <c r="C6" s="43"/>
      <c r="D6" s="43">
        <v>1</v>
      </c>
      <c r="E6" s="43">
        <v>1</v>
      </c>
      <c r="F6" s="43">
        <v>1</v>
      </c>
      <c r="G6" s="43">
        <v>1</v>
      </c>
      <c r="H6" s="43">
        <v>1</v>
      </c>
      <c r="I6" s="43">
        <v>1</v>
      </c>
      <c r="J6" s="43">
        <v>1</v>
      </c>
      <c r="K6" s="43">
        <v>1</v>
      </c>
      <c r="L6" s="42"/>
      <c r="M6" s="42"/>
      <c r="N6" s="43">
        <v>1</v>
      </c>
      <c r="O6" s="44">
        <v>1</v>
      </c>
      <c r="P6" s="43"/>
      <c r="Q6" s="44"/>
      <c r="R6" s="43">
        <v>1</v>
      </c>
      <c r="S6" s="44">
        <v>1</v>
      </c>
      <c r="T6" s="43">
        <v>1</v>
      </c>
      <c r="U6" s="44">
        <v>1</v>
      </c>
      <c r="V6" s="43">
        <v>1</v>
      </c>
      <c r="W6" s="44">
        <v>1</v>
      </c>
      <c r="X6" s="43">
        <v>1</v>
      </c>
      <c r="Y6" s="44">
        <v>1</v>
      </c>
      <c r="Z6" s="43">
        <v>1</v>
      </c>
      <c r="AA6" s="43">
        <v>1</v>
      </c>
      <c r="AB6" s="3">
        <v>1</v>
      </c>
      <c r="AC6" s="3">
        <v>1</v>
      </c>
    </row>
    <row r="7" spans="1:29" x14ac:dyDescent="0.25">
      <c r="A7" s="3" t="s">
        <v>22</v>
      </c>
      <c r="B7" s="43">
        <v>1</v>
      </c>
      <c r="C7" s="43">
        <v>1</v>
      </c>
      <c r="D7" s="43">
        <v>1</v>
      </c>
      <c r="E7" s="43">
        <v>1</v>
      </c>
      <c r="F7" s="43">
        <v>1</v>
      </c>
      <c r="G7" s="43">
        <v>1</v>
      </c>
      <c r="H7" s="43">
        <v>1</v>
      </c>
      <c r="I7" s="43">
        <v>1</v>
      </c>
      <c r="J7" s="43">
        <v>1</v>
      </c>
      <c r="K7" s="43">
        <v>1</v>
      </c>
      <c r="L7" s="42">
        <v>1</v>
      </c>
      <c r="M7" s="42">
        <v>1</v>
      </c>
      <c r="N7" s="43">
        <v>1</v>
      </c>
      <c r="O7" s="44">
        <v>1</v>
      </c>
      <c r="P7" s="43">
        <v>1</v>
      </c>
      <c r="Q7" s="44">
        <v>1</v>
      </c>
      <c r="R7" s="43">
        <v>1</v>
      </c>
      <c r="S7" s="44">
        <v>1</v>
      </c>
      <c r="T7" s="43">
        <v>1</v>
      </c>
      <c r="U7" s="44">
        <v>1</v>
      </c>
      <c r="V7" s="43">
        <v>1</v>
      </c>
      <c r="W7" s="44">
        <v>1</v>
      </c>
      <c r="X7" s="43"/>
      <c r="Y7" s="44"/>
      <c r="Z7" s="43"/>
      <c r="AA7" s="43"/>
    </row>
    <row r="8" spans="1:29" x14ac:dyDescent="0.25">
      <c r="A8" s="3" t="s">
        <v>23</v>
      </c>
      <c r="B8" s="43"/>
      <c r="C8" s="43"/>
      <c r="D8" s="43">
        <v>1</v>
      </c>
      <c r="E8" s="43">
        <v>1</v>
      </c>
      <c r="F8" s="43">
        <v>1</v>
      </c>
      <c r="G8" s="43">
        <v>1</v>
      </c>
      <c r="H8" s="43">
        <v>1</v>
      </c>
      <c r="I8" s="43">
        <v>1</v>
      </c>
      <c r="J8" s="43">
        <v>1</v>
      </c>
      <c r="K8" s="43">
        <v>1</v>
      </c>
      <c r="L8" s="42"/>
      <c r="M8" s="42"/>
      <c r="N8" s="43">
        <v>1</v>
      </c>
      <c r="O8" s="44">
        <v>1</v>
      </c>
      <c r="P8" s="43"/>
      <c r="Q8" s="44"/>
      <c r="R8" s="43"/>
      <c r="S8" s="44"/>
      <c r="T8" s="43">
        <v>1</v>
      </c>
      <c r="U8" s="44">
        <v>1</v>
      </c>
      <c r="V8" s="43">
        <v>1</v>
      </c>
      <c r="W8" s="44">
        <v>1</v>
      </c>
      <c r="X8" s="43"/>
      <c r="Y8" s="44"/>
      <c r="Z8" s="43">
        <v>1</v>
      </c>
      <c r="AA8" s="43">
        <v>1</v>
      </c>
    </row>
    <row r="9" spans="1:29" x14ac:dyDescent="0.25">
      <c r="A9" s="3" t="s">
        <v>88</v>
      </c>
      <c r="B9" s="43"/>
      <c r="C9" s="43"/>
      <c r="D9" s="43">
        <v>1</v>
      </c>
      <c r="E9" s="43">
        <v>1</v>
      </c>
      <c r="F9" s="43">
        <v>1</v>
      </c>
      <c r="G9" s="43">
        <v>1</v>
      </c>
      <c r="H9" s="43">
        <v>1</v>
      </c>
      <c r="I9" s="43">
        <v>1</v>
      </c>
      <c r="J9" s="43">
        <v>1</v>
      </c>
      <c r="K9" s="43">
        <v>1</v>
      </c>
      <c r="L9" s="42"/>
      <c r="M9" s="42"/>
      <c r="N9" s="43">
        <v>1</v>
      </c>
      <c r="O9" s="44">
        <v>1</v>
      </c>
      <c r="P9" s="43"/>
      <c r="Q9" s="44"/>
      <c r="R9" s="43">
        <v>1</v>
      </c>
      <c r="S9" s="44">
        <v>1</v>
      </c>
      <c r="T9" s="43">
        <v>1</v>
      </c>
      <c r="U9" s="44">
        <v>1</v>
      </c>
      <c r="V9" s="43">
        <v>1</v>
      </c>
      <c r="W9" s="44">
        <v>1</v>
      </c>
      <c r="X9" s="43">
        <v>1</v>
      </c>
      <c r="Y9" s="44">
        <v>1</v>
      </c>
      <c r="Z9" s="43">
        <v>1</v>
      </c>
      <c r="AA9" s="43">
        <v>1</v>
      </c>
    </row>
    <row r="10" spans="1:29" x14ac:dyDescent="0.25">
      <c r="A10" s="3" t="s">
        <v>89</v>
      </c>
      <c r="B10" s="43"/>
      <c r="C10" s="43"/>
      <c r="D10" s="43">
        <v>1</v>
      </c>
      <c r="E10" s="43">
        <v>1</v>
      </c>
      <c r="F10" s="43">
        <v>1</v>
      </c>
      <c r="G10" s="43">
        <v>1</v>
      </c>
      <c r="H10" s="43"/>
      <c r="I10" s="43"/>
      <c r="J10" s="43">
        <v>1</v>
      </c>
      <c r="K10" s="43">
        <v>1</v>
      </c>
      <c r="L10" s="42"/>
      <c r="M10" s="42"/>
      <c r="N10" s="43">
        <v>1</v>
      </c>
      <c r="O10" s="44">
        <v>1</v>
      </c>
      <c r="P10" s="43"/>
      <c r="Q10" s="44"/>
      <c r="R10" s="43"/>
      <c r="S10" s="44"/>
      <c r="T10" s="43"/>
      <c r="U10" s="44"/>
      <c r="V10" s="43">
        <v>1</v>
      </c>
      <c r="W10" s="44">
        <v>1</v>
      </c>
      <c r="X10" s="43">
        <v>1</v>
      </c>
      <c r="Y10" s="44">
        <v>1</v>
      </c>
      <c r="Z10" s="43"/>
      <c r="AA10" s="43"/>
      <c r="AB10" s="3">
        <v>1</v>
      </c>
      <c r="AC10" s="3">
        <v>1</v>
      </c>
    </row>
    <row r="11" spans="1:29" x14ac:dyDescent="0.25">
      <c r="A11" s="3" t="s">
        <v>26</v>
      </c>
      <c r="B11" s="43">
        <v>1</v>
      </c>
      <c r="C11" s="43">
        <v>1</v>
      </c>
      <c r="D11" s="43">
        <v>1</v>
      </c>
      <c r="E11" s="43">
        <v>1</v>
      </c>
      <c r="F11" s="43">
        <v>1</v>
      </c>
      <c r="G11" s="43">
        <v>1</v>
      </c>
      <c r="H11" s="43">
        <v>1</v>
      </c>
      <c r="I11" s="43">
        <v>1</v>
      </c>
      <c r="J11" s="43">
        <v>1</v>
      </c>
      <c r="K11" s="43">
        <v>1</v>
      </c>
      <c r="L11" s="42"/>
      <c r="M11" s="42"/>
      <c r="N11" s="43">
        <v>1</v>
      </c>
      <c r="O11" s="44">
        <v>1</v>
      </c>
      <c r="P11" s="43">
        <v>1</v>
      </c>
      <c r="Q11" s="44">
        <v>1</v>
      </c>
      <c r="R11" s="43">
        <v>1</v>
      </c>
      <c r="S11" s="44">
        <v>1</v>
      </c>
      <c r="T11" s="43">
        <v>1</v>
      </c>
      <c r="U11" s="44">
        <v>1</v>
      </c>
      <c r="V11" s="43">
        <v>1</v>
      </c>
      <c r="W11" s="44">
        <v>1</v>
      </c>
      <c r="X11" s="43">
        <v>1</v>
      </c>
      <c r="Y11" s="44">
        <v>1</v>
      </c>
      <c r="Z11" s="43"/>
      <c r="AA11" s="43"/>
      <c r="AB11" s="3">
        <v>1</v>
      </c>
      <c r="AC11" s="3">
        <v>1</v>
      </c>
    </row>
    <row r="12" spans="1:29" x14ac:dyDescent="0.25">
      <c r="A12" s="3" t="s">
        <v>27</v>
      </c>
      <c r="B12" s="43">
        <v>1</v>
      </c>
      <c r="C12" s="43">
        <v>1</v>
      </c>
      <c r="D12" s="43">
        <v>1</v>
      </c>
      <c r="E12" s="43">
        <v>1</v>
      </c>
      <c r="F12" s="43">
        <v>1</v>
      </c>
      <c r="G12" s="43">
        <v>1</v>
      </c>
      <c r="H12" s="43">
        <v>1</v>
      </c>
      <c r="I12" s="43">
        <v>1</v>
      </c>
      <c r="J12" s="43">
        <v>1</v>
      </c>
      <c r="K12" s="43">
        <v>1</v>
      </c>
      <c r="L12" s="42">
        <v>1</v>
      </c>
      <c r="M12" s="42">
        <v>1</v>
      </c>
      <c r="N12" s="43">
        <v>1</v>
      </c>
      <c r="O12" s="44">
        <v>1</v>
      </c>
      <c r="P12" s="43">
        <v>1</v>
      </c>
      <c r="Q12" s="44">
        <v>1</v>
      </c>
      <c r="R12" s="43">
        <v>1</v>
      </c>
      <c r="S12" s="44">
        <v>1</v>
      </c>
      <c r="T12" s="43">
        <v>1</v>
      </c>
      <c r="U12" s="44">
        <v>1</v>
      </c>
      <c r="V12" s="43">
        <v>1</v>
      </c>
      <c r="W12" s="44">
        <v>1</v>
      </c>
      <c r="X12" s="43"/>
      <c r="Y12" s="44"/>
      <c r="Z12" s="43"/>
      <c r="AA12" s="43"/>
    </row>
    <row r="13" spans="1:29" x14ac:dyDescent="0.25">
      <c r="A13" s="3" t="s">
        <v>28</v>
      </c>
      <c r="B13" s="43"/>
      <c r="C13" s="43"/>
      <c r="D13" s="43">
        <v>1</v>
      </c>
      <c r="E13" s="43">
        <v>1</v>
      </c>
      <c r="F13" s="43">
        <v>1</v>
      </c>
      <c r="G13" s="43">
        <v>1</v>
      </c>
      <c r="H13" s="43">
        <v>1</v>
      </c>
      <c r="I13" s="43">
        <v>1</v>
      </c>
      <c r="J13" s="43">
        <v>1</v>
      </c>
      <c r="K13" s="43">
        <v>1</v>
      </c>
      <c r="L13" s="42"/>
      <c r="M13" s="42"/>
      <c r="N13" s="43"/>
      <c r="O13" s="44"/>
      <c r="P13" s="43"/>
      <c r="Q13" s="44"/>
      <c r="R13" s="43">
        <v>1</v>
      </c>
      <c r="S13" s="44">
        <v>1</v>
      </c>
      <c r="T13" s="43">
        <v>1</v>
      </c>
      <c r="U13" s="44">
        <v>1</v>
      </c>
      <c r="V13" s="43">
        <v>1</v>
      </c>
      <c r="W13" s="44">
        <v>1</v>
      </c>
      <c r="X13" s="43"/>
      <c r="Y13" s="44"/>
      <c r="Z13" s="43">
        <v>1</v>
      </c>
      <c r="AA13" s="43">
        <v>1</v>
      </c>
    </row>
    <row r="14" spans="1:29" x14ac:dyDescent="0.25">
      <c r="A14" s="3" t="s">
        <v>29</v>
      </c>
      <c r="B14" s="43">
        <v>1</v>
      </c>
      <c r="C14" s="43">
        <v>1</v>
      </c>
      <c r="D14" s="43">
        <v>1</v>
      </c>
      <c r="E14" s="43">
        <v>1</v>
      </c>
      <c r="F14" s="43">
        <v>1</v>
      </c>
      <c r="G14" s="43">
        <v>1</v>
      </c>
      <c r="H14" s="43"/>
      <c r="I14" s="43"/>
      <c r="J14" s="43">
        <v>1</v>
      </c>
      <c r="K14" s="43">
        <v>1</v>
      </c>
      <c r="L14" s="42">
        <v>1</v>
      </c>
      <c r="M14" s="42">
        <v>1</v>
      </c>
      <c r="N14" s="43"/>
      <c r="O14" s="44"/>
      <c r="P14" s="43"/>
      <c r="Q14" s="44"/>
      <c r="R14" s="43"/>
      <c r="S14" s="44"/>
      <c r="T14" s="43">
        <v>1</v>
      </c>
      <c r="U14" s="44">
        <v>1</v>
      </c>
      <c r="V14" s="43">
        <v>1</v>
      </c>
      <c r="W14" s="44">
        <v>1</v>
      </c>
      <c r="X14" s="43">
        <v>1</v>
      </c>
      <c r="Y14" s="44">
        <v>1</v>
      </c>
      <c r="Z14" s="43">
        <v>1</v>
      </c>
      <c r="AA14" s="43">
        <v>1</v>
      </c>
    </row>
    <row r="15" spans="1:29" x14ac:dyDescent="0.25">
      <c r="A15" s="3" t="s">
        <v>30</v>
      </c>
      <c r="B15" s="43"/>
      <c r="C15" s="43"/>
      <c r="D15" s="43">
        <v>1</v>
      </c>
      <c r="E15" s="43">
        <v>1</v>
      </c>
      <c r="F15" s="43">
        <v>1</v>
      </c>
      <c r="G15" s="43">
        <v>1</v>
      </c>
      <c r="H15" s="43">
        <v>1</v>
      </c>
      <c r="I15" s="43">
        <v>1</v>
      </c>
      <c r="J15" s="43">
        <v>1</v>
      </c>
      <c r="K15" s="43">
        <v>1</v>
      </c>
      <c r="L15" s="42"/>
      <c r="M15" s="42"/>
      <c r="N15" s="43">
        <v>1</v>
      </c>
      <c r="O15" s="44">
        <v>1</v>
      </c>
      <c r="P15" s="43"/>
      <c r="Q15" s="44"/>
      <c r="R15" s="43"/>
      <c r="S15" s="44"/>
      <c r="T15" s="43">
        <v>1</v>
      </c>
      <c r="U15" s="44">
        <v>1</v>
      </c>
      <c r="V15" s="43">
        <v>1</v>
      </c>
      <c r="W15" s="44">
        <v>1</v>
      </c>
      <c r="X15" s="43"/>
      <c r="Y15" s="44"/>
      <c r="Z15" s="43">
        <v>1</v>
      </c>
      <c r="AA15" s="43">
        <v>1</v>
      </c>
    </row>
    <row r="16" spans="1:29" x14ac:dyDescent="0.25">
      <c r="A16" s="3" t="s">
        <v>90</v>
      </c>
      <c r="B16" s="43"/>
      <c r="C16" s="43"/>
      <c r="D16" s="43">
        <v>1</v>
      </c>
      <c r="E16" s="43">
        <v>1</v>
      </c>
      <c r="F16" s="43">
        <v>1</v>
      </c>
      <c r="G16" s="43">
        <v>1</v>
      </c>
      <c r="H16" s="43"/>
      <c r="I16" s="43"/>
      <c r="J16" s="43">
        <v>1</v>
      </c>
      <c r="K16" s="43">
        <v>1</v>
      </c>
      <c r="L16" s="42"/>
      <c r="M16" s="42"/>
      <c r="N16" s="43"/>
      <c r="O16" s="44"/>
      <c r="P16" s="43"/>
      <c r="Q16" s="44"/>
      <c r="R16" s="43">
        <v>1</v>
      </c>
      <c r="S16" s="44">
        <v>1</v>
      </c>
      <c r="T16" s="43">
        <v>1</v>
      </c>
      <c r="U16" s="44">
        <v>1</v>
      </c>
      <c r="V16" s="43"/>
      <c r="W16" s="44"/>
      <c r="X16" s="43"/>
      <c r="Y16" s="44"/>
      <c r="Z16" s="43">
        <v>1</v>
      </c>
      <c r="AA16" s="43">
        <v>1</v>
      </c>
    </row>
    <row r="17" spans="1:29" x14ac:dyDescent="0.25">
      <c r="A17" s="3" t="s">
        <v>91</v>
      </c>
      <c r="B17" s="43"/>
      <c r="C17" s="43"/>
      <c r="D17" s="43">
        <v>1</v>
      </c>
      <c r="E17" s="43">
        <v>1</v>
      </c>
      <c r="F17" s="43">
        <v>1</v>
      </c>
      <c r="G17" s="43">
        <v>1</v>
      </c>
      <c r="H17" s="43">
        <v>1</v>
      </c>
      <c r="I17" s="43">
        <v>1</v>
      </c>
      <c r="J17" s="43">
        <v>1</v>
      </c>
      <c r="K17" s="43">
        <v>1</v>
      </c>
      <c r="L17" s="42"/>
      <c r="M17" s="42"/>
      <c r="N17" s="43"/>
      <c r="O17" s="44"/>
      <c r="P17" s="43"/>
      <c r="Q17" s="44"/>
      <c r="R17" s="43"/>
      <c r="S17" s="44"/>
      <c r="T17" s="43">
        <v>1</v>
      </c>
      <c r="U17" s="44">
        <v>1</v>
      </c>
      <c r="V17" s="43"/>
      <c r="W17" s="44"/>
      <c r="X17" s="43">
        <v>1</v>
      </c>
      <c r="Y17" s="44">
        <v>1</v>
      </c>
      <c r="Z17" s="43">
        <v>1</v>
      </c>
      <c r="AA17" s="43">
        <v>1</v>
      </c>
      <c r="AB17" s="3">
        <v>1</v>
      </c>
      <c r="AC17" s="3">
        <v>1</v>
      </c>
    </row>
    <row r="18" spans="1:29" x14ac:dyDescent="0.25">
      <c r="A18" s="3" t="s">
        <v>33</v>
      </c>
      <c r="B18" s="43">
        <v>1</v>
      </c>
      <c r="C18" s="43">
        <v>1</v>
      </c>
      <c r="D18" s="43">
        <v>1</v>
      </c>
      <c r="E18" s="43">
        <v>1</v>
      </c>
      <c r="F18" s="43">
        <v>1</v>
      </c>
      <c r="G18" s="43">
        <v>1</v>
      </c>
      <c r="H18" s="43">
        <v>1</v>
      </c>
      <c r="I18" s="43">
        <v>1</v>
      </c>
      <c r="J18" s="43">
        <v>1</v>
      </c>
      <c r="K18" s="43">
        <v>1</v>
      </c>
      <c r="L18" s="42">
        <v>1</v>
      </c>
      <c r="M18" s="42">
        <v>1</v>
      </c>
      <c r="N18" s="43">
        <v>1</v>
      </c>
      <c r="O18" s="44">
        <v>1</v>
      </c>
      <c r="P18" s="43">
        <v>1</v>
      </c>
      <c r="Q18" s="44">
        <v>1</v>
      </c>
      <c r="R18" s="43">
        <v>1</v>
      </c>
      <c r="S18" s="44">
        <v>1</v>
      </c>
      <c r="T18" s="43">
        <v>1</v>
      </c>
      <c r="U18" s="44">
        <v>1</v>
      </c>
      <c r="V18" s="43">
        <v>1</v>
      </c>
      <c r="W18" s="44">
        <v>1</v>
      </c>
      <c r="X18" s="43"/>
      <c r="Y18" s="44"/>
      <c r="Z18" s="43"/>
      <c r="AA18" s="43"/>
    </row>
    <row r="19" spans="1:29" x14ac:dyDescent="0.25">
      <c r="A19" s="3" t="s">
        <v>34</v>
      </c>
      <c r="B19" s="43">
        <v>1</v>
      </c>
      <c r="C19" s="43">
        <v>1</v>
      </c>
      <c r="D19" s="43">
        <v>1</v>
      </c>
      <c r="E19" s="43">
        <v>1</v>
      </c>
      <c r="F19" s="43">
        <v>1</v>
      </c>
      <c r="G19" s="43">
        <v>1</v>
      </c>
      <c r="H19" s="43">
        <v>1</v>
      </c>
      <c r="I19" s="43">
        <v>1</v>
      </c>
      <c r="J19" s="43">
        <v>1</v>
      </c>
      <c r="K19" s="43">
        <v>1</v>
      </c>
      <c r="L19" s="42"/>
      <c r="M19" s="42"/>
      <c r="N19" s="43">
        <v>1</v>
      </c>
      <c r="O19" s="44">
        <v>1</v>
      </c>
      <c r="P19" s="43">
        <v>1</v>
      </c>
      <c r="Q19" s="44">
        <v>1</v>
      </c>
      <c r="R19" s="43">
        <v>1</v>
      </c>
      <c r="S19" s="44">
        <v>1</v>
      </c>
      <c r="T19" s="43">
        <v>1</v>
      </c>
      <c r="U19" s="44">
        <v>1</v>
      </c>
      <c r="V19" s="43">
        <v>1</v>
      </c>
      <c r="W19" s="44">
        <v>1</v>
      </c>
      <c r="X19" s="43"/>
      <c r="Y19" s="44"/>
      <c r="Z19" s="43">
        <v>1</v>
      </c>
      <c r="AA19" s="43">
        <v>1</v>
      </c>
    </row>
    <row r="20" spans="1:29" x14ac:dyDescent="0.25">
      <c r="A20" s="3" t="s">
        <v>92</v>
      </c>
      <c r="B20" s="43"/>
      <c r="C20" s="43"/>
      <c r="D20" s="43">
        <v>1</v>
      </c>
      <c r="E20" s="43">
        <v>1</v>
      </c>
      <c r="F20" s="43">
        <v>1</v>
      </c>
      <c r="G20" s="43">
        <v>1</v>
      </c>
      <c r="H20" s="43">
        <v>1</v>
      </c>
      <c r="I20" s="43">
        <v>1</v>
      </c>
      <c r="J20" s="43">
        <v>1</v>
      </c>
      <c r="K20" s="43">
        <v>1</v>
      </c>
      <c r="L20" s="42"/>
      <c r="M20" s="42"/>
      <c r="N20" s="43"/>
      <c r="O20" s="44"/>
      <c r="P20" s="43"/>
      <c r="Q20" s="44"/>
      <c r="R20" s="43"/>
      <c r="S20" s="44"/>
      <c r="T20" s="43">
        <v>1</v>
      </c>
      <c r="U20" s="44">
        <v>1</v>
      </c>
      <c r="V20" s="43"/>
      <c r="W20" s="44"/>
      <c r="X20" s="43">
        <v>1</v>
      </c>
      <c r="Y20" s="44">
        <v>1</v>
      </c>
      <c r="Z20" s="43">
        <v>1</v>
      </c>
      <c r="AA20" s="43">
        <v>1</v>
      </c>
    </row>
    <row r="21" spans="1:29" x14ac:dyDescent="0.25">
      <c r="A21" s="3" t="s">
        <v>36</v>
      </c>
      <c r="B21" s="43">
        <v>1</v>
      </c>
      <c r="C21" s="43">
        <v>1</v>
      </c>
      <c r="D21" s="43">
        <v>1</v>
      </c>
      <c r="E21" s="43">
        <v>1</v>
      </c>
      <c r="F21" s="43">
        <v>1</v>
      </c>
      <c r="G21" s="43">
        <v>1</v>
      </c>
      <c r="H21" s="43">
        <v>1</v>
      </c>
      <c r="I21" s="43">
        <v>1</v>
      </c>
      <c r="J21" s="43">
        <v>1</v>
      </c>
      <c r="K21" s="43">
        <v>1</v>
      </c>
      <c r="L21" s="42">
        <v>1</v>
      </c>
      <c r="M21" s="42">
        <v>1</v>
      </c>
      <c r="N21" s="43">
        <v>1</v>
      </c>
      <c r="O21" s="44">
        <v>1</v>
      </c>
      <c r="P21" s="43"/>
      <c r="Q21" s="44"/>
      <c r="R21" s="43">
        <v>1</v>
      </c>
      <c r="S21" s="44">
        <v>1</v>
      </c>
      <c r="T21" s="43">
        <v>1</v>
      </c>
      <c r="U21" s="44">
        <v>1</v>
      </c>
      <c r="V21" s="43">
        <v>1</v>
      </c>
      <c r="W21" s="44">
        <v>1</v>
      </c>
      <c r="X21" s="43"/>
      <c r="Y21" s="44"/>
      <c r="Z21" s="43">
        <v>1</v>
      </c>
      <c r="AA21" s="43">
        <v>1</v>
      </c>
      <c r="AC21" s="3">
        <v>1</v>
      </c>
    </row>
    <row r="22" spans="1:29" x14ac:dyDescent="0.25">
      <c r="A22" s="3" t="s">
        <v>37</v>
      </c>
      <c r="B22" s="43"/>
      <c r="C22" s="43"/>
      <c r="D22" s="43">
        <v>1</v>
      </c>
      <c r="E22" s="43">
        <v>1</v>
      </c>
      <c r="F22" s="43">
        <v>1</v>
      </c>
      <c r="G22" s="43">
        <v>1</v>
      </c>
      <c r="H22" s="43"/>
      <c r="I22" s="43"/>
      <c r="J22" s="43">
        <v>1</v>
      </c>
      <c r="K22" s="43">
        <v>1</v>
      </c>
      <c r="L22" s="42"/>
      <c r="M22" s="42"/>
      <c r="N22" s="43">
        <v>1</v>
      </c>
      <c r="O22" s="44">
        <v>1</v>
      </c>
      <c r="P22" s="43"/>
      <c r="Q22" s="44"/>
      <c r="R22" s="43">
        <v>1</v>
      </c>
      <c r="S22" s="44">
        <v>1</v>
      </c>
      <c r="T22" s="43">
        <v>1</v>
      </c>
      <c r="U22" s="44">
        <v>1</v>
      </c>
      <c r="V22" s="43">
        <v>1</v>
      </c>
      <c r="W22" s="44">
        <v>1</v>
      </c>
      <c r="X22" s="43"/>
      <c r="Y22" s="44"/>
      <c r="Z22" s="43"/>
      <c r="AA22" s="43"/>
      <c r="AB22" s="3">
        <v>1</v>
      </c>
      <c r="AC22" s="3">
        <v>1</v>
      </c>
    </row>
    <row r="23" spans="1:29" x14ac:dyDescent="0.25">
      <c r="A23" s="3" t="s">
        <v>38</v>
      </c>
      <c r="B23" s="43"/>
      <c r="C23" s="43"/>
      <c r="D23" s="43">
        <v>1</v>
      </c>
      <c r="E23" s="43">
        <v>1</v>
      </c>
      <c r="F23" s="43">
        <v>1</v>
      </c>
      <c r="G23" s="43">
        <v>1</v>
      </c>
      <c r="H23" s="43"/>
      <c r="I23" s="43"/>
      <c r="J23" s="43">
        <v>1</v>
      </c>
      <c r="K23" s="43">
        <v>1</v>
      </c>
      <c r="L23" s="42"/>
      <c r="M23" s="42"/>
      <c r="N23" s="43">
        <v>1</v>
      </c>
      <c r="O23" s="44">
        <v>1</v>
      </c>
      <c r="P23" s="43"/>
      <c r="Q23" s="44"/>
      <c r="R23" s="43">
        <v>1</v>
      </c>
      <c r="S23" s="44">
        <v>1</v>
      </c>
      <c r="T23" s="43">
        <v>1</v>
      </c>
      <c r="U23" s="44">
        <v>1</v>
      </c>
      <c r="V23" s="43">
        <v>1</v>
      </c>
      <c r="W23" s="44">
        <v>1</v>
      </c>
      <c r="X23" s="43"/>
      <c r="Y23" s="44"/>
      <c r="Z23" s="43">
        <v>1</v>
      </c>
      <c r="AA23" s="43">
        <v>1</v>
      </c>
      <c r="AB23" s="3">
        <v>1</v>
      </c>
      <c r="AC23" s="3">
        <v>1</v>
      </c>
    </row>
    <row r="24" spans="1:29" x14ac:dyDescent="0.25">
      <c r="A24" s="3" t="s">
        <v>39</v>
      </c>
      <c r="B24" s="43">
        <v>1</v>
      </c>
      <c r="C24" s="43">
        <v>1</v>
      </c>
      <c r="D24" s="43">
        <v>1</v>
      </c>
      <c r="E24" s="43">
        <v>1</v>
      </c>
      <c r="F24" s="43">
        <v>1</v>
      </c>
      <c r="G24" s="43">
        <v>1</v>
      </c>
      <c r="H24" s="43">
        <v>1</v>
      </c>
      <c r="I24" s="43">
        <v>1</v>
      </c>
      <c r="J24" s="43">
        <v>1</v>
      </c>
      <c r="K24" s="43">
        <v>1</v>
      </c>
      <c r="L24" s="42"/>
      <c r="M24" s="42"/>
      <c r="N24" s="43">
        <v>1</v>
      </c>
      <c r="O24" s="44">
        <v>1</v>
      </c>
      <c r="P24" s="43">
        <v>1</v>
      </c>
      <c r="Q24" s="44">
        <v>1</v>
      </c>
      <c r="R24" s="43">
        <v>1</v>
      </c>
      <c r="S24" s="44">
        <v>1</v>
      </c>
      <c r="T24" s="43">
        <v>1</v>
      </c>
      <c r="U24" s="44">
        <v>1</v>
      </c>
      <c r="V24" s="43">
        <v>1</v>
      </c>
      <c r="W24" s="44">
        <v>1</v>
      </c>
      <c r="X24" s="43"/>
      <c r="Y24" s="44"/>
      <c r="Z24" s="43">
        <v>1</v>
      </c>
      <c r="AA24" s="43">
        <v>1</v>
      </c>
    </row>
    <row r="25" spans="1:29" x14ac:dyDescent="0.25">
      <c r="A25" s="3" t="s">
        <v>40</v>
      </c>
      <c r="B25" s="43"/>
      <c r="C25" s="43"/>
      <c r="D25" s="43">
        <v>1</v>
      </c>
      <c r="E25" s="43">
        <v>1</v>
      </c>
      <c r="F25" s="43">
        <v>1</v>
      </c>
      <c r="G25" s="43">
        <v>1</v>
      </c>
      <c r="H25" s="43"/>
      <c r="I25" s="43"/>
      <c r="J25" s="43">
        <v>1</v>
      </c>
      <c r="K25" s="43">
        <v>1</v>
      </c>
      <c r="L25" s="42"/>
      <c r="M25" s="42"/>
      <c r="N25" s="43"/>
      <c r="O25" s="44"/>
      <c r="P25" s="43"/>
      <c r="Q25" s="44"/>
      <c r="R25" s="43">
        <v>1</v>
      </c>
      <c r="S25" s="44">
        <v>1</v>
      </c>
      <c r="T25" s="43">
        <v>1</v>
      </c>
      <c r="U25" s="44">
        <v>1</v>
      </c>
      <c r="V25" s="43"/>
      <c r="W25" s="44"/>
      <c r="X25" s="43"/>
      <c r="Y25" s="44"/>
      <c r="Z25" s="43"/>
      <c r="AA25" s="43"/>
      <c r="AB25" s="3">
        <v>1</v>
      </c>
    </row>
    <row r="26" spans="1:29" x14ac:dyDescent="0.25">
      <c r="A26" s="3" t="s">
        <v>41</v>
      </c>
      <c r="B26" s="43"/>
      <c r="C26" s="43"/>
      <c r="D26" s="43">
        <v>1</v>
      </c>
      <c r="E26" s="43">
        <v>1</v>
      </c>
      <c r="F26" s="43">
        <v>1</v>
      </c>
      <c r="G26" s="43">
        <v>1</v>
      </c>
      <c r="H26" s="43">
        <v>1</v>
      </c>
      <c r="I26" s="43">
        <v>1</v>
      </c>
      <c r="J26" s="43">
        <v>1</v>
      </c>
      <c r="K26" s="43">
        <v>1</v>
      </c>
      <c r="L26" s="42"/>
      <c r="M26" s="42"/>
      <c r="N26" s="43">
        <v>1</v>
      </c>
      <c r="O26" s="44">
        <v>1</v>
      </c>
      <c r="P26" s="43">
        <v>1</v>
      </c>
      <c r="Q26" s="44">
        <v>1</v>
      </c>
      <c r="R26" s="43">
        <v>1</v>
      </c>
      <c r="S26" s="44">
        <v>1</v>
      </c>
      <c r="T26" s="43">
        <v>1</v>
      </c>
      <c r="U26" s="44">
        <v>1</v>
      </c>
      <c r="V26" s="43">
        <v>1</v>
      </c>
      <c r="W26" s="44">
        <v>1</v>
      </c>
      <c r="X26" s="43"/>
      <c r="Y26" s="44"/>
      <c r="Z26" s="43">
        <v>1</v>
      </c>
      <c r="AA26" s="43">
        <v>1</v>
      </c>
      <c r="AC26" s="3">
        <v>1</v>
      </c>
    </row>
    <row r="27" spans="1:29" x14ac:dyDescent="0.25">
      <c r="A27" s="3" t="s">
        <v>42</v>
      </c>
      <c r="B27" s="43"/>
      <c r="C27" s="43"/>
      <c r="D27" s="43">
        <v>1</v>
      </c>
      <c r="E27" s="43">
        <v>1</v>
      </c>
      <c r="F27" s="43">
        <v>1</v>
      </c>
      <c r="G27" s="43">
        <v>1</v>
      </c>
      <c r="H27" s="43">
        <v>1</v>
      </c>
      <c r="I27" s="43">
        <v>1</v>
      </c>
      <c r="J27" s="43">
        <v>1</v>
      </c>
      <c r="K27" s="43">
        <v>1</v>
      </c>
      <c r="L27" s="42"/>
      <c r="M27" s="42"/>
      <c r="N27" s="43">
        <v>1</v>
      </c>
      <c r="O27" s="44">
        <v>1</v>
      </c>
      <c r="P27" s="43"/>
      <c r="Q27" s="44"/>
      <c r="R27" s="43">
        <v>1</v>
      </c>
      <c r="S27" s="44">
        <v>1</v>
      </c>
      <c r="T27" s="43">
        <v>1</v>
      </c>
      <c r="U27" s="44">
        <v>1</v>
      </c>
      <c r="V27" s="43">
        <v>1</v>
      </c>
      <c r="W27" s="44">
        <v>1</v>
      </c>
      <c r="X27" s="43"/>
      <c r="Y27" s="44"/>
      <c r="Z27" s="43"/>
      <c r="AA27" s="43"/>
    </row>
    <row r="28" spans="1:29" x14ac:dyDescent="0.25">
      <c r="A28" s="3" t="s">
        <v>93</v>
      </c>
      <c r="B28" s="43"/>
      <c r="C28" s="43"/>
      <c r="D28" s="43">
        <v>1</v>
      </c>
      <c r="E28" s="43">
        <v>1</v>
      </c>
      <c r="F28" s="43">
        <v>1</v>
      </c>
      <c r="G28" s="43">
        <v>1</v>
      </c>
      <c r="H28" s="43">
        <v>1</v>
      </c>
      <c r="I28" s="43">
        <v>1</v>
      </c>
      <c r="J28" s="43">
        <v>1</v>
      </c>
      <c r="K28" s="43">
        <v>1</v>
      </c>
      <c r="L28" s="42"/>
      <c r="M28" s="42"/>
      <c r="N28" s="43"/>
      <c r="O28" s="44"/>
      <c r="P28" s="43"/>
      <c r="Q28" s="44"/>
      <c r="R28" s="43"/>
      <c r="S28" s="44"/>
      <c r="T28" s="43">
        <v>1</v>
      </c>
      <c r="U28" s="44">
        <v>1</v>
      </c>
      <c r="V28" s="43"/>
      <c r="W28" s="44"/>
      <c r="X28" s="43">
        <v>1</v>
      </c>
      <c r="Y28" s="44">
        <v>1</v>
      </c>
      <c r="Z28" s="43">
        <v>1</v>
      </c>
      <c r="AA28" s="43">
        <v>1</v>
      </c>
      <c r="AB28" s="3">
        <v>1</v>
      </c>
      <c r="AC28" s="3">
        <v>1</v>
      </c>
    </row>
    <row r="29" spans="1:29" x14ac:dyDescent="0.25">
      <c r="A29" s="3" t="s">
        <v>44</v>
      </c>
      <c r="B29" s="43">
        <v>1</v>
      </c>
      <c r="C29" s="43">
        <v>1</v>
      </c>
      <c r="D29" s="43">
        <v>1</v>
      </c>
      <c r="E29" s="43">
        <v>1</v>
      </c>
      <c r="F29" s="43">
        <v>1</v>
      </c>
      <c r="G29" s="43">
        <v>1</v>
      </c>
      <c r="H29" s="43">
        <v>1</v>
      </c>
      <c r="I29" s="43">
        <v>1</v>
      </c>
      <c r="J29" s="43">
        <v>1</v>
      </c>
      <c r="K29" s="43">
        <v>1</v>
      </c>
      <c r="L29" s="42">
        <v>1</v>
      </c>
      <c r="M29" s="42">
        <v>1</v>
      </c>
      <c r="N29" s="43">
        <v>1</v>
      </c>
      <c r="O29" s="44">
        <v>1</v>
      </c>
      <c r="P29" s="43">
        <v>1</v>
      </c>
      <c r="Q29" s="44">
        <v>1</v>
      </c>
      <c r="R29" s="43">
        <v>1</v>
      </c>
      <c r="S29" s="44">
        <v>1</v>
      </c>
      <c r="T29" s="43">
        <v>1</v>
      </c>
      <c r="U29" s="44">
        <v>1</v>
      </c>
      <c r="V29" s="43">
        <v>1</v>
      </c>
      <c r="W29" s="44">
        <v>1</v>
      </c>
      <c r="X29" s="43">
        <v>1</v>
      </c>
      <c r="Y29" s="44">
        <v>1</v>
      </c>
      <c r="Z29" s="43">
        <v>1</v>
      </c>
      <c r="AA29" s="43">
        <v>1</v>
      </c>
    </row>
    <row r="30" spans="1:29" x14ac:dyDescent="0.25">
      <c r="A30" s="3" t="s">
        <v>80</v>
      </c>
      <c r="B30" s="43"/>
      <c r="C30" s="43"/>
      <c r="D30" s="43">
        <v>1</v>
      </c>
      <c r="E30" s="43">
        <v>1</v>
      </c>
      <c r="F30" s="43">
        <v>1</v>
      </c>
      <c r="G30" s="43">
        <v>1</v>
      </c>
      <c r="H30" s="43"/>
      <c r="I30" s="43"/>
      <c r="J30" s="43">
        <v>1</v>
      </c>
      <c r="K30" s="43">
        <v>1</v>
      </c>
      <c r="L30" s="42"/>
      <c r="M30" s="42"/>
      <c r="N30" s="43"/>
      <c r="O30" s="44"/>
      <c r="P30" s="43"/>
      <c r="Q30" s="44"/>
      <c r="R30" s="43"/>
      <c r="S30" s="44"/>
      <c r="T30" s="43">
        <v>1</v>
      </c>
      <c r="U30" s="44">
        <v>1</v>
      </c>
      <c r="V30" s="43"/>
      <c r="W30" s="44"/>
      <c r="X30" s="43"/>
      <c r="Y30" s="44"/>
      <c r="Z30" s="43">
        <v>1</v>
      </c>
      <c r="AA30" s="43">
        <v>1</v>
      </c>
      <c r="AB30" s="3">
        <v>1</v>
      </c>
      <c r="AC30" s="3">
        <v>1</v>
      </c>
    </row>
    <row r="31" spans="1:29" x14ac:dyDescent="0.25">
      <c r="A31" s="3" t="s">
        <v>81</v>
      </c>
      <c r="B31" s="43">
        <v>1</v>
      </c>
      <c r="C31" s="43">
        <v>1</v>
      </c>
      <c r="D31" s="43">
        <v>1</v>
      </c>
      <c r="E31" s="43">
        <v>1</v>
      </c>
      <c r="F31" s="43">
        <v>1</v>
      </c>
      <c r="G31" s="43">
        <v>1</v>
      </c>
      <c r="H31" s="43">
        <v>1</v>
      </c>
      <c r="I31" s="43">
        <v>1</v>
      </c>
      <c r="J31" s="43">
        <v>1</v>
      </c>
      <c r="K31" s="43">
        <v>1</v>
      </c>
      <c r="L31" s="42">
        <v>1</v>
      </c>
      <c r="M31" s="42">
        <v>1</v>
      </c>
      <c r="N31" s="43">
        <v>1</v>
      </c>
      <c r="O31" s="44">
        <v>1</v>
      </c>
      <c r="P31" s="43">
        <v>1</v>
      </c>
      <c r="Q31" s="44">
        <v>1</v>
      </c>
      <c r="R31" s="43">
        <v>1</v>
      </c>
      <c r="S31" s="44">
        <v>1</v>
      </c>
      <c r="T31" s="43">
        <v>1</v>
      </c>
      <c r="U31" s="44">
        <v>1</v>
      </c>
      <c r="V31" s="43">
        <v>1</v>
      </c>
      <c r="W31" s="44">
        <v>1</v>
      </c>
      <c r="X31" s="43">
        <v>1</v>
      </c>
      <c r="Y31" s="44">
        <v>1</v>
      </c>
      <c r="Z31" s="43">
        <v>1</v>
      </c>
      <c r="AA31" s="43">
        <v>1</v>
      </c>
      <c r="AB31" s="3">
        <v>1</v>
      </c>
      <c r="AC31" s="3">
        <v>1</v>
      </c>
    </row>
    <row r="32" spans="1:29" x14ac:dyDescent="0.25">
      <c r="A32" s="3" t="s">
        <v>82</v>
      </c>
      <c r="B32" s="43"/>
      <c r="C32" s="43"/>
      <c r="D32" s="43">
        <v>1</v>
      </c>
      <c r="E32" s="43">
        <v>1</v>
      </c>
      <c r="F32" s="43">
        <v>1</v>
      </c>
      <c r="G32" s="43">
        <v>1</v>
      </c>
      <c r="H32" s="43">
        <v>1</v>
      </c>
      <c r="I32" s="43">
        <v>1</v>
      </c>
      <c r="J32" s="43">
        <v>1</v>
      </c>
      <c r="K32" s="43">
        <v>1</v>
      </c>
      <c r="L32" s="42"/>
      <c r="M32" s="42"/>
      <c r="N32" s="43">
        <v>1</v>
      </c>
      <c r="O32" s="44">
        <v>1</v>
      </c>
      <c r="P32" s="43"/>
      <c r="Q32" s="44"/>
      <c r="R32" s="43"/>
      <c r="S32" s="44"/>
      <c r="T32" s="43">
        <v>1</v>
      </c>
      <c r="U32" s="44">
        <v>1</v>
      </c>
      <c r="V32" s="43">
        <v>1</v>
      </c>
      <c r="W32" s="44">
        <v>1</v>
      </c>
      <c r="X32" s="43"/>
      <c r="Y32" s="44"/>
      <c r="Z32" s="43">
        <v>1</v>
      </c>
      <c r="AA32" s="43">
        <v>1</v>
      </c>
    </row>
    <row r="33" spans="2:35" x14ac:dyDescent="0.2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row>
    <row r="34" spans="2:35" x14ac:dyDescent="0.2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row>
    <row r="35" spans="2:35"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row>
    <row r="36" spans="2:35" x14ac:dyDescent="0.25">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2:35" x14ac:dyDescent="0.25">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spans="2:35" x14ac:dyDescent="0.25">
      <c r="B38" s="42"/>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1"/>
      <c r="AC38" s="41"/>
      <c r="AD38" s="41"/>
      <c r="AE38" s="41"/>
      <c r="AF38" s="41"/>
      <c r="AG38" s="41"/>
      <c r="AH38" s="41"/>
      <c r="AI38" s="41"/>
    </row>
    <row r="39" spans="2:35" x14ac:dyDescent="0.25">
      <c r="B39" s="42"/>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spans="2:35"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2:35"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spans="2:35"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spans="2:35"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sheetData>
  <sheetProtection selectLockedCells="1" selectUnlockedCells="1"/>
  <mergeCells count="14">
    <mergeCell ref="AB1:AC1"/>
    <mergeCell ref="X1:Y1"/>
    <mergeCell ref="Z1:AA1"/>
    <mergeCell ref="N1:O1"/>
    <mergeCell ref="P1:Q1"/>
    <mergeCell ref="R1:S1"/>
    <mergeCell ref="T1:U1"/>
    <mergeCell ref="V1:W1"/>
    <mergeCell ref="L1:M1"/>
    <mergeCell ref="B1:C1"/>
    <mergeCell ref="D1:E1"/>
    <mergeCell ref="F1:G1"/>
    <mergeCell ref="H1:I1"/>
    <mergeCell ref="J1:K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2" tint="-0.89999084444715716"/>
  </sheetPr>
  <dimension ref="A1:AI43"/>
  <sheetViews>
    <sheetView zoomScale="85" zoomScaleNormal="85" workbookViewId="0">
      <selection activeCell="Z41" sqref="Z41"/>
    </sheetView>
  </sheetViews>
  <sheetFormatPr defaultRowHeight="15" x14ac:dyDescent="0.25"/>
  <cols>
    <col min="1" max="1" width="32.85546875" style="3" bestFit="1" customWidth="1"/>
    <col min="2" max="27" width="8" style="3" customWidth="1"/>
    <col min="28" max="16384" width="9.140625" style="3"/>
  </cols>
  <sheetData>
    <row r="1" spans="1:29" s="7" customFormat="1" ht="45.75" customHeight="1" x14ac:dyDescent="0.25">
      <c r="B1" s="188" t="s">
        <v>133</v>
      </c>
      <c r="C1" s="188"/>
      <c r="D1" s="188" t="s">
        <v>134</v>
      </c>
      <c r="E1" s="188"/>
      <c r="F1" s="188" t="s">
        <v>135</v>
      </c>
      <c r="G1" s="188"/>
      <c r="H1" s="188" t="s">
        <v>136</v>
      </c>
      <c r="I1" s="188"/>
      <c r="J1" s="188" t="s">
        <v>137</v>
      </c>
      <c r="K1" s="188"/>
      <c r="L1" s="188" t="s">
        <v>138</v>
      </c>
      <c r="M1" s="188"/>
      <c r="N1" s="188" t="s">
        <v>139</v>
      </c>
      <c r="O1" s="188"/>
      <c r="P1" s="188" t="s">
        <v>140</v>
      </c>
      <c r="Q1" s="188"/>
      <c r="R1" s="188" t="s">
        <v>141</v>
      </c>
      <c r="S1" s="188"/>
      <c r="T1" s="188" t="s">
        <v>142</v>
      </c>
      <c r="U1" s="188"/>
      <c r="V1" s="188" t="s">
        <v>143</v>
      </c>
      <c r="W1" s="188"/>
      <c r="X1" s="188" t="s">
        <v>144</v>
      </c>
      <c r="Y1" s="188"/>
      <c r="Z1" s="188" t="s">
        <v>150</v>
      </c>
      <c r="AA1" s="188"/>
      <c r="AB1" s="188" t="s">
        <v>193</v>
      </c>
      <c r="AC1" s="188"/>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row>
    <row r="3" spans="1:29" x14ac:dyDescent="0.25">
      <c r="A3" s="3" t="s">
        <v>87</v>
      </c>
      <c r="B3" s="45"/>
      <c r="C3" s="45"/>
      <c r="D3" s="43">
        <v>2</v>
      </c>
      <c r="E3" s="43">
        <v>1</v>
      </c>
      <c r="F3" s="42">
        <v>2</v>
      </c>
      <c r="G3" s="42">
        <v>2</v>
      </c>
      <c r="H3" s="43">
        <v>2</v>
      </c>
      <c r="I3" s="43">
        <v>2</v>
      </c>
      <c r="J3" s="43">
        <v>2</v>
      </c>
      <c r="K3" s="43">
        <v>2</v>
      </c>
      <c r="L3" s="42"/>
      <c r="M3" s="42"/>
      <c r="N3" s="43"/>
      <c r="O3" s="44">
        <v>1</v>
      </c>
      <c r="P3" s="43"/>
      <c r="Q3" s="44"/>
      <c r="R3" s="42">
        <v>2</v>
      </c>
      <c r="S3" s="44">
        <v>1</v>
      </c>
      <c r="T3" s="42">
        <v>2</v>
      </c>
      <c r="U3" s="44">
        <v>2</v>
      </c>
      <c r="V3" s="43"/>
      <c r="W3" s="44">
        <v>1</v>
      </c>
      <c r="X3" s="43"/>
      <c r="Y3" s="44"/>
      <c r="Z3" s="43">
        <v>1</v>
      </c>
      <c r="AA3" s="43">
        <v>1</v>
      </c>
    </row>
    <row r="4" spans="1:29" x14ac:dyDescent="0.25">
      <c r="A4" s="3" t="s">
        <v>19</v>
      </c>
      <c r="B4" s="43"/>
      <c r="C4" s="43"/>
      <c r="D4" s="43">
        <v>2</v>
      </c>
      <c r="E4" s="43">
        <v>1</v>
      </c>
      <c r="F4" s="43">
        <v>1</v>
      </c>
      <c r="G4" s="43">
        <v>1</v>
      </c>
      <c r="H4" s="43">
        <v>2</v>
      </c>
      <c r="I4" s="43"/>
      <c r="J4" s="43">
        <v>1</v>
      </c>
      <c r="K4" s="43">
        <v>2</v>
      </c>
      <c r="L4" s="42"/>
      <c r="M4" s="42"/>
      <c r="N4" s="43"/>
      <c r="O4" s="44"/>
      <c r="P4" s="43"/>
      <c r="Q4" s="44"/>
      <c r="R4" s="43">
        <v>2</v>
      </c>
      <c r="S4" s="44">
        <v>2</v>
      </c>
      <c r="T4" s="43">
        <v>1</v>
      </c>
      <c r="U4" s="44">
        <v>1</v>
      </c>
      <c r="V4" s="43"/>
      <c r="W4" s="44"/>
      <c r="X4" s="43"/>
      <c r="Y4" s="44"/>
      <c r="Z4" s="43">
        <v>1</v>
      </c>
      <c r="AA4" s="43">
        <v>2</v>
      </c>
      <c r="AB4" s="3">
        <v>3</v>
      </c>
      <c r="AC4" s="3">
        <v>2</v>
      </c>
    </row>
    <row r="5" spans="1:29" x14ac:dyDescent="0.25">
      <c r="A5" s="3" t="s">
        <v>20</v>
      </c>
      <c r="B5" s="43"/>
      <c r="C5" s="43">
        <v>2</v>
      </c>
      <c r="D5" s="43">
        <v>1</v>
      </c>
      <c r="E5" s="43">
        <v>1</v>
      </c>
      <c r="F5" s="43">
        <v>3</v>
      </c>
      <c r="G5" s="43">
        <v>3</v>
      </c>
      <c r="H5" s="43">
        <v>3</v>
      </c>
      <c r="I5" s="43">
        <v>3</v>
      </c>
      <c r="J5" s="43">
        <v>3</v>
      </c>
      <c r="K5" s="43">
        <v>3</v>
      </c>
      <c r="L5" s="43">
        <v>3</v>
      </c>
      <c r="M5" s="43">
        <v>2</v>
      </c>
      <c r="N5" s="43">
        <v>2</v>
      </c>
      <c r="O5" s="44">
        <v>2</v>
      </c>
      <c r="P5" s="43">
        <v>2</v>
      </c>
      <c r="Q5" s="44">
        <v>2</v>
      </c>
      <c r="R5" s="43">
        <v>1</v>
      </c>
      <c r="S5" s="44">
        <v>1</v>
      </c>
      <c r="T5" s="43">
        <v>2.5</v>
      </c>
      <c r="U5" s="44">
        <v>3</v>
      </c>
      <c r="V5" s="43">
        <v>3</v>
      </c>
      <c r="W5" s="44">
        <v>2</v>
      </c>
      <c r="X5" s="43"/>
      <c r="Y5" s="44"/>
      <c r="Z5" s="43"/>
      <c r="AA5" s="43"/>
    </row>
    <row r="6" spans="1:29" x14ac:dyDescent="0.25">
      <c r="A6" s="3" t="s">
        <v>21</v>
      </c>
      <c r="B6" s="43"/>
      <c r="C6" s="43"/>
      <c r="D6" s="43"/>
      <c r="E6" s="43"/>
      <c r="F6" s="43"/>
      <c r="G6" s="43">
        <v>2</v>
      </c>
      <c r="H6" s="43"/>
      <c r="I6" s="43">
        <v>2</v>
      </c>
      <c r="J6" s="43"/>
      <c r="K6" s="43">
        <v>2</v>
      </c>
      <c r="L6" s="42"/>
      <c r="M6" s="42"/>
      <c r="N6" s="43"/>
      <c r="O6" s="44">
        <v>1</v>
      </c>
      <c r="P6" s="43"/>
      <c r="Q6" s="44"/>
      <c r="R6" s="43"/>
      <c r="S6" s="44">
        <v>1</v>
      </c>
      <c r="T6" s="43"/>
      <c r="U6" s="44">
        <v>1</v>
      </c>
      <c r="V6" s="43"/>
      <c r="W6" s="44">
        <v>1</v>
      </c>
      <c r="X6" s="43"/>
      <c r="Y6" s="44"/>
      <c r="Z6" s="43"/>
      <c r="AA6" s="43">
        <v>1</v>
      </c>
      <c r="AB6" s="3">
        <v>3</v>
      </c>
      <c r="AC6" s="3">
        <v>1</v>
      </c>
    </row>
    <row r="7" spans="1:29" x14ac:dyDescent="0.25">
      <c r="A7" s="3" t="s">
        <v>22</v>
      </c>
      <c r="B7" s="43">
        <v>3</v>
      </c>
      <c r="C7" s="43">
        <v>2</v>
      </c>
      <c r="D7" s="43">
        <v>1</v>
      </c>
      <c r="E7" s="43"/>
      <c r="F7" s="43">
        <v>3</v>
      </c>
      <c r="G7" s="43">
        <v>1</v>
      </c>
      <c r="H7" s="43">
        <v>3</v>
      </c>
      <c r="I7" s="43">
        <v>1</v>
      </c>
      <c r="J7" s="43">
        <v>3</v>
      </c>
      <c r="K7" s="43">
        <v>3</v>
      </c>
      <c r="L7" s="42">
        <v>2</v>
      </c>
      <c r="M7" s="42">
        <v>2</v>
      </c>
      <c r="N7" s="43">
        <v>3</v>
      </c>
      <c r="O7" s="44">
        <v>2</v>
      </c>
      <c r="P7" s="43">
        <v>3</v>
      </c>
      <c r="Q7" s="44">
        <v>2</v>
      </c>
      <c r="R7" s="43">
        <v>1</v>
      </c>
      <c r="S7" s="44">
        <v>2</v>
      </c>
      <c r="T7" s="43">
        <v>2</v>
      </c>
      <c r="U7" s="44">
        <v>2</v>
      </c>
      <c r="V7" s="43">
        <v>3</v>
      </c>
      <c r="W7" s="44">
        <v>2</v>
      </c>
      <c r="X7" s="43"/>
      <c r="Y7" s="44"/>
      <c r="Z7" s="43"/>
      <c r="AA7" s="43"/>
    </row>
    <row r="8" spans="1:29" x14ac:dyDescent="0.25">
      <c r="A8" s="3" t="s">
        <v>23</v>
      </c>
      <c r="B8" s="43"/>
      <c r="C8" s="43"/>
      <c r="D8" s="43"/>
      <c r="E8" s="43"/>
      <c r="F8" s="43">
        <v>2</v>
      </c>
      <c r="G8" s="43">
        <v>2</v>
      </c>
      <c r="H8" s="43">
        <v>3</v>
      </c>
      <c r="I8" s="43">
        <v>2</v>
      </c>
      <c r="J8" s="43">
        <v>2</v>
      </c>
      <c r="K8" s="43">
        <v>2</v>
      </c>
      <c r="L8" s="42"/>
      <c r="M8" s="42"/>
      <c r="N8" s="43"/>
      <c r="O8" s="44">
        <v>1</v>
      </c>
      <c r="P8" s="43"/>
      <c r="Q8" s="44"/>
      <c r="R8" s="43"/>
      <c r="S8" s="44"/>
      <c r="T8" s="43">
        <v>1</v>
      </c>
      <c r="U8" s="44">
        <v>2</v>
      </c>
      <c r="V8" s="43"/>
      <c r="W8" s="44">
        <v>1</v>
      </c>
      <c r="X8" s="43"/>
      <c r="Y8" s="44"/>
      <c r="Z8" s="43">
        <v>2</v>
      </c>
      <c r="AA8" s="43">
        <v>2</v>
      </c>
    </row>
    <row r="9" spans="1:29" x14ac:dyDescent="0.25">
      <c r="A9" s="3" t="s">
        <v>88</v>
      </c>
      <c r="B9" s="43"/>
      <c r="C9" s="43"/>
      <c r="D9" s="43">
        <v>1.5</v>
      </c>
      <c r="E9" s="43">
        <v>1</v>
      </c>
      <c r="F9" s="43">
        <v>2</v>
      </c>
      <c r="G9" s="43">
        <v>2</v>
      </c>
      <c r="H9" s="43">
        <v>1.5</v>
      </c>
      <c r="I9" s="43">
        <v>1</v>
      </c>
      <c r="J9" s="43">
        <v>3</v>
      </c>
      <c r="K9" s="43"/>
      <c r="L9" s="42"/>
      <c r="M9" s="42"/>
      <c r="N9" s="43">
        <v>1</v>
      </c>
      <c r="O9" s="44">
        <v>1</v>
      </c>
      <c r="P9" s="43"/>
      <c r="Q9" s="44"/>
      <c r="R9" s="43">
        <v>1</v>
      </c>
      <c r="S9" s="44">
        <v>1</v>
      </c>
      <c r="T9" s="43">
        <v>2.5</v>
      </c>
      <c r="U9" s="44">
        <v>2</v>
      </c>
      <c r="V9" s="43">
        <v>1</v>
      </c>
      <c r="W9" s="44">
        <v>1</v>
      </c>
      <c r="X9" s="43">
        <v>3</v>
      </c>
      <c r="Y9" s="44"/>
      <c r="Z9" s="43">
        <v>3</v>
      </c>
      <c r="AA9" s="43"/>
    </row>
    <row r="10" spans="1:29" x14ac:dyDescent="0.25">
      <c r="A10" s="3" t="s">
        <v>89</v>
      </c>
      <c r="B10" s="43"/>
      <c r="C10" s="43"/>
      <c r="D10" s="43"/>
      <c r="E10" s="43"/>
      <c r="F10" s="43">
        <v>2</v>
      </c>
      <c r="G10" s="43"/>
      <c r="H10" s="43"/>
      <c r="I10" s="43"/>
      <c r="J10" s="43">
        <v>2</v>
      </c>
      <c r="K10" s="43"/>
      <c r="L10" s="42"/>
      <c r="M10" s="42"/>
      <c r="N10" s="43"/>
      <c r="O10" s="44">
        <v>2</v>
      </c>
      <c r="P10" s="43"/>
      <c r="Q10" s="44"/>
      <c r="R10" s="43"/>
      <c r="S10" s="44"/>
      <c r="T10" s="43"/>
      <c r="U10" s="44"/>
      <c r="V10" s="43"/>
      <c r="W10" s="44">
        <v>1</v>
      </c>
      <c r="X10" s="43"/>
      <c r="Y10" s="44"/>
      <c r="Z10" s="43"/>
      <c r="AA10" s="43"/>
      <c r="AC10" s="3">
        <v>1</v>
      </c>
    </row>
    <row r="11" spans="1:29" x14ac:dyDescent="0.25">
      <c r="A11" s="3" t="s">
        <v>26</v>
      </c>
      <c r="B11" s="43">
        <v>2</v>
      </c>
      <c r="C11" s="43">
        <v>1</v>
      </c>
      <c r="D11" s="43"/>
      <c r="E11" s="43">
        <v>1</v>
      </c>
      <c r="F11" s="43">
        <v>3</v>
      </c>
      <c r="G11" s="43">
        <v>3</v>
      </c>
      <c r="H11" s="43">
        <v>2</v>
      </c>
      <c r="I11" s="43">
        <v>1</v>
      </c>
      <c r="J11" s="43">
        <v>2</v>
      </c>
      <c r="K11" s="43">
        <v>2</v>
      </c>
      <c r="L11" s="42"/>
      <c r="M11" s="42"/>
      <c r="N11" s="43">
        <v>2</v>
      </c>
      <c r="O11" s="44">
        <v>1</v>
      </c>
      <c r="P11" s="43">
        <v>1</v>
      </c>
      <c r="Q11" s="44">
        <v>1</v>
      </c>
      <c r="R11" s="43"/>
      <c r="S11" s="44">
        <v>1</v>
      </c>
      <c r="T11" s="43">
        <v>3</v>
      </c>
      <c r="U11" s="44">
        <v>2</v>
      </c>
      <c r="V11" s="43">
        <v>1</v>
      </c>
      <c r="W11" s="44">
        <v>1</v>
      </c>
      <c r="X11" s="43"/>
      <c r="Y11" s="44"/>
      <c r="Z11" s="43"/>
      <c r="AA11" s="43"/>
      <c r="AC11" s="3">
        <v>1</v>
      </c>
    </row>
    <row r="12" spans="1:29" x14ac:dyDescent="0.25">
      <c r="A12" s="3" t="s">
        <v>27</v>
      </c>
      <c r="B12" s="43">
        <v>1</v>
      </c>
      <c r="C12" s="43">
        <v>1</v>
      </c>
      <c r="D12" s="43">
        <v>2</v>
      </c>
      <c r="E12" s="43">
        <v>1</v>
      </c>
      <c r="F12" s="43">
        <v>2</v>
      </c>
      <c r="G12" s="43">
        <v>2</v>
      </c>
      <c r="H12" s="43">
        <v>2</v>
      </c>
      <c r="I12" s="43">
        <v>1</v>
      </c>
      <c r="J12" s="43">
        <v>2</v>
      </c>
      <c r="K12" s="43">
        <v>3</v>
      </c>
      <c r="L12" s="42">
        <v>2</v>
      </c>
      <c r="M12" s="42"/>
      <c r="N12" s="43">
        <v>2</v>
      </c>
      <c r="O12" s="44">
        <v>2</v>
      </c>
      <c r="P12" s="43">
        <v>2</v>
      </c>
      <c r="Q12" s="44">
        <v>2</v>
      </c>
      <c r="R12" s="43"/>
      <c r="S12" s="44">
        <v>1</v>
      </c>
      <c r="T12" s="43">
        <v>1</v>
      </c>
      <c r="U12" s="44">
        <v>1</v>
      </c>
      <c r="V12" s="43"/>
      <c r="W12" s="44">
        <v>1</v>
      </c>
      <c r="X12" s="43"/>
      <c r="Y12" s="44"/>
      <c r="Z12" s="43"/>
      <c r="AA12" s="43"/>
    </row>
    <row r="13" spans="1:29" x14ac:dyDescent="0.25">
      <c r="A13" s="3" t="s">
        <v>28</v>
      </c>
      <c r="B13" s="43"/>
      <c r="C13" s="43"/>
      <c r="D13" s="43"/>
      <c r="E13" s="43">
        <v>1</v>
      </c>
      <c r="F13" s="43">
        <v>1</v>
      </c>
      <c r="G13" s="43">
        <v>1</v>
      </c>
      <c r="H13" s="43"/>
      <c r="I13" s="43">
        <v>2</v>
      </c>
      <c r="J13" s="43">
        <v>2</v>
      </c>
      <c r="K13" s="43">
        <v>2</v>
      </c>
      <c r="L13" s="42"/>
      <c r="M13" s="42"/>
      <c r="N13" s="43"/>
      <c r="O13" s="44"/>
      <c r="P13" s="43"/>
      <c r="Q13" s="44"/>
      <c r="R13" s="43">
        <v>2</v>
      </c>
      <c r="S13" s="44">
        <v>1</v>
      </c>
      <c r="T13" s="43">
        <v>2</v>
      </c>
      <c r="U13" s="44">
        <v>1</v>
      </c>
      <c r="V13" s="43"/>
      <c r="W13" s="44">
        <v>1</v>
      </c>
      <c r="X13" s="43"/>
      <c r="Y13" s="44"/>
      <c r="Z13" s="43">
        <v>1</v>
      </c>
      <c r="AA13" s="43">
        <v>2</v>
      </c>
    </row>
    <row r="14" spans="1:29" x14ac:dyDescent="0.25">
      <c r="A14" s="3" t="s">
        <v>29</v>
      </c>
      <c r="B14" s="43">
        <v>2</v>
      </c>
      <c r="C14" s="43"/>
      <c r="D14" s="43"/>
      <c r="E14" s="43"/>
      <c r="F14" s="43">
        <v>2</v>
      </c>
      <c r="G14" s="43"/>
      <c r="H14" s="43"/>
      <c r="I14" s="43"/>
      <c r="J14" s="43">
        <v>2</v>
      </c>
      <c r="K14" s="43"/>
      <c r="L14" s="42">
        <v>2</v>
      </c>
      <c r="M14" s="42"/>
      <c r="N14" s="43"/>
      <c r="O14" s="44"/>
      <c r="P14" s="43"/>
      <c r="Q14" s="44"/>
      <c r="R14" s="43"/>
      <c r="S14" s="44"/>
      <c r="T14" s="43">
        <v>3</v>
      </c>
      <c r="U14" s="44"/>
      <c r="V14" s="43"/>
      <c r="W14" s="44"/>
      <c r="X14" s="43"/>
      <c r="Y14" s="44"/>
      <c r="Z14" s="43">
        <v>2</v>
      </c>
      <c r="AA14" s="43"/>
    </row>
    <row r="15" spans="1:29" x14ac:dyDescent="0.25">
      <c r="A15" s="3" t="s">
        <v>30</v>
      </c>
      <c r="B15" s="43"/>
      <c r="C15" s="43"/>
      <c r="D15" s="43"/>
      <c r="E15" s="43"/>
      <c r="F15" s="43">
        <v>1</v>
      </c>
      <c r="G15" s="43">
        <v>1</v>
      </c>
      <c r="H15" s="43"/>
      <c r="I15" s="43">
        <v>1</v>
      </c>
      <c r="J15" s="43">
        <v>1</v>
      </c>
      <c r="K15" s="43">
        <v>2</v>
      </c>
      <c r="L15" s="42"/>
      <c r="M15" s="42"/>
      <c r="N15" s="43"/>
      <c r="O15" s="44">
        <v>1</v>
      </c>
      <c r="P15" s="43"/>
      <c r="Q15" s="44"/>
      <c r="R15" s="43"/>
      <c r="S15" s="44"/>
      <c r="T15" s="43">
        <v>1</v>
      </c>
      <c r="U15" s="44">
        <v>2</v>
      </c>
      <c r="V15" s="43"/>
      <c r="W15" s="44">
        <v>1</v>
      </c>
      <c r="X15" s="43"/>
      <c r="Y15" s="44"/>
      <c r="Z15" s="43">
        <v>2</v>
      </c>
      <c r="AA15" s="43">
        <v>2</v>
      </c>
    </row>
    <row r="16" spans="1:29" x14ac:dyDescent="0.25">
      <c r="A16" s="3" t="s">
        <v>90</v>
      </c>
      <c r="B16" s="43"/>
      <c r="C16" s="43"/>
      <c r="D16" s="43" t="s">
        <v>152</v>
      </c>
      <c r="E16" s="43"/>
      <c r="F16" s="43">
        <v>2</v>
      </c>
      <c r="G16" s="43"/>
      <c r="H16" s="43"/>
      <c r="I16" s="43"/>
      <c r="J16" s="43">
        <v>2</v>
      </c>
      <c r="K16" s="43"/>
      <c r="L16" s="42"/>
      <c r="M16" s="42"/>
      <c r="N16" s="43"/>
      <c r="O16" s="44"/>
      <c r="P16" s="43"/>
      <c r="Q16" s="44"/>
      <c r="R16" s="43">
        <v>1</v>
      </c>
      <c r="S16" s="44"/>
      <c r="T16" s="43">
        <v>1</v>
      </c>
      <c r="U16" s="44"/>
      <c r="V16" s="43"/>
      <c r="W16" s="44"/>
      <c r="X16" s="43"/>
      <c r="Y16" s="44"/>
      <c r="Z16" s="43">
        <v>2</v>
      </c>
      <c r="AA16" s="43"/>
    </row>
    <row r="17" spans="1:29" x14ac:dyDescent="0.25">
      <c r="A17" s="3" t="s">
        <v>91</v>
      </c>
      <c r="B17" s="43"/>
      <c r="C17" s="43"/>
      <c r="D17" s="43"/>
      <c r="E17" s="43">
        <v>1</v>
      </c>
      <c r="F17" s="43">
        <v>2</v>
      </c>
      <c r="G17" s="43">
        <v>2</v>
      </c>
      <c r="H17" s="43"/>
      <c r="I17" s="43">
        <v>1</v>
      </c>
      <c r="J17" s="43"/>
      <c r="K17" s="43"/>
      <c r="L17" s="42"/>
      <c r="M17" s="42"/>
      <c r="N17" s="43"/>
      <c r="O17" s="44"/>
      <c r="P17" s="43"/>
      <c r="Q17" s="44"/>
      <c r="R17" s="43"/>
      <c r="S17" s="44"/>
      <c r="T17" s="43">
        <v>1</v>
      </c>
      <c r="U17" s="44">
        <v>2</v>
      </c>
      <c r="V17" s="43"/>
      <c r="W17" s="44"/>
      <c r="X17" s="43">
        <v>1</v>
      </c>
      <c r="Y17" s="44"/>
      <c r="Z17" s="43">
        <v>3</v>
      </c>
      <c r="AA17" s="43">
        <v>2</v>
      </c>
      <c r="AB17" s="3">
        <v>3</v>
      </c>
      <c r="AC17" s="3">
        <v>1</v>
      </c>
    </row>
    <row r="18" spans="1:29" x14ac:dyDescent="0.25">
      <c r="A18" s="3" t="s">
        <v>33</v>
      </c>
      <c r="B18" s="43">
        <v>2</v>
      </c>
      <c r="C18" s="43">
        <v>2</v>
      </c>
      <c r="D18" s="43"/>
      <c r="E18" s="43">
        <v>1</v>
      </c>
      <c r="F18" s="43">
        <v>3</v>
      </c>
      <c r="G18" s="43">
        <v>3</v>
      </c>
      <c r="H18" s="43">
        <v>3</v>
      </c>
      <c r="I18" s="43">
        <v>3</v>
      </c>
      <c r="J18" s="43">
        <v>3</v>
      </c>
      <c r="K18" s="43">
        <v>3</v>
      </c>
      <c r="L18" s="42">
        <v>3</v>
      </c>
      <c r="M18" s="42">
        <v>2</v>
      </c>
      <c r="N18" s="43">
        <v>3</v>
      </c>
      <c r="O18" s="44">
        <v>2</v>
      </c>
      <c r="P18" s="43">
        <v>3</v>
      </c>
      <c r="Q18" s="44">
        <v>2</v>
      </c>
      <c r="R18" s="43">
        <v>1</v>
      </c>
      <c r="S18" s="44">
        <v>2</v>
      </c>
      <c r="T18" s="43">
        <v>2</v>
      </c>
      <c r="U18" s="44">
        <v>2</v>
      </c>
      <c r="V18" s="43">
        <v>3</v>
      </c>
      <c r="W18" s="44">
        <v>2</v>
      </c>
      <c r="X18" s="43"/>
      <c r="Y18" s="44"/>
      <c r="Z18" s="43"/>
      <c r="AA18" s="43"/>
    </row>
    <row r="19" spans="1:29" x14ac:dyDescent="0.25">
      <c r="A19" s="3" t="s">
        <v>34</v>
      </c>
      <c r="B19" s="43">
        <v>2</v>
      </c>
      <c r="C19" s="43">
        <v>3</v>
      </c>
      <c r="D19" s="43"/>
      <c r="E19" s="43">
        <v>1</v>
      </c>
      <c r="F19" s="43">
        <v>3</v>
      </c>
      <c r="G19" s="43">
        <v>2</v>
      </c>
      <c r="H19" s="43">
        <v>3</v>
      </c>
      <c r="I19" s="43">
        <v>1</v>
      </c>
      <c r="J19" s="43">
        <v>3</v>
      </c>
      <c r="K19" s="43"/>
      <c r="L19" s="42"/>
      <c r="M19" s="42"/>
      <c r="N19" s="43">
        <v>2</v>
      </c>
      <c r="O19" s="44">
        <v>2</v>
      </c>
      <c r="P19" s="43">
        <v>2</v>
      </c>
      <c r="Q19" s="44"/>
      <c r="R19" s="43">
        <v>2</v>
      </c>
      <c r="S19" s="44">
        <v>1</v>
      </c>
      <c r="T19" s="43">
        <v>3</v>
      </c>
      <c r="U19" s="44">
        <v>3</v>
      </c>
      <c r="V19" s="43">
        <v>3</v>
      </c>
      <c r="W19" s="44">
        <v>1</v>
      </c>
      <c r="X19" s="43"/>
      <c r="Y19" s="44"/>
      <c r="Z19" s="43">
        <v>1</v>
      </c>
      <c r="AA19" s="43">
        <v>1</v>
      </c>
    </row>
    <row r="20" spans="1:29" x14ac:dyDescent="0.25">
      <c r="A20" s="3" t="s">
        <v>92</v>
      </c>
      <c r="B20" s="43"/>
      <c r="C20" s="43"/>
      <c r="D20" s="43"/>
      <c r="E20" s="43"/>
      <c r="F20" s="43">
        <v>1</v>
      </c>
      <c r="G20" s="43">
        <v>1</v>
      </c>
      <c r="H20" s="43">
        <v>2</v>
      </c>
      <c r="I20" s="43">
        <v>2</v>
      </c>
      <c r="J20" s="43">
        <v>1</v>
      </c>
      <c r="K20" s="43">
        <v>1</v>
      </c>
      <c r="L20" s="42"/>
      <c r="M20" s="42"/>
      <c r="N20" s="43"/>
      <c r="O20" s="44"/>
      <c r="P20" s="43"/>
      <c r="Q20" s="44"/>
      <c r="R20" s="43"/>
      <c r="S20" s="44"/>
      <c r="T20" s="43">
        <v>1</v>
      </c>
      <c r="U20" s="44">
        <v>2</v>
      </c>
      <c r="V20" s="43"/>
      <c r="W20" s="44"/>
      <c r="X20" s="43">
        <v>3</v>
      </c>
      <c r="Y20" s="44"/>
      <c r="Z20" s="43">
        <v>3</v>
      </c>
      <c r="AA20" s="43">
        <v>2</v>
      </c>
    </row>
    <row r="21" spans="1:29" x14ac:dyDescent="0.25">
      <c r="A21" s="3" t="s">
        <v>36</v>
      </c>
      <c r="B21" s="43">
        <v>3</v>
      </c>
      <c r="C21" s="43">
        <v>2</v>
      </c>
      <c r="D21" s="43"/>
      <c r="E21" s="43">
        <v>1</v>
      </c>
      <c r="F21" s="43">
        <v>2</v>
      </c>
      <c r="G21" s="43">
        <v>2</v>
      </c>
      <c r="H21" s="43">
        <v>3</v>
      </c>
      <c r="I21" s="43">
        <v>2</v>
      </c>
      <c r="J21" s="43">
        <v>3</v>
      </c>
      <c r="K21" s="43">
        <v>2</v>
      </c>
      <c r="L21" s="42">
        <v>2</v>
      </c>
      <c r="M21" s="42"/>
      <c r="N21" s="43">
        <v>2</v>
      </c>
      <c r="O21" s="44">
        <v>2</v>
      </c>
      <c r="P21" s="43"/>
      <c r="Q21" s="44"/>
      <c r="R21" s="43">
        <v>2</v>
      </c>
      <c r="S21" s="44">
        <v>2</v>
      </c>
      <c r="T21" s="43">
        <v>3</v>
      </c>
      <c r="U21" s="44">
        <v>2</v>
      </c>
      <c r="V21" s="43">
        <v>2</v>
      </c>
      <c r="W21" s="44">
        <v>2</v>
      </c>
      <c r="X21" s="43"/>
      <c r="Y21" s="44"/>
      <c r="Z21" s="43">
        <v>2</v>
      </c>
      <c r="AA21" s="43"/>
      <c r="AC21" s="3">
        <v>3</v>
      </c>
    </row>
    <row r="22" spans="1:29" x14ac:dyDescent="0.25">
      <c r="A22" s="3" t="s">
        <v>37</v>
      </c>
      <c r="B22" s="43"/>
      <c r="C22" s="43"/>
      <c r="D22" s="43"/>
      <c r="E22" s="43">
        <v>1</v>
      </c>
      <c r="F22" s="43">
        <v>3</v>
      </c>
      <c r="G22" s="43">
        <v>2</v>
      </c>
      <c r="H22" s="43"/>
      <c r="I22" s="43"/>
      <c r="J22" s="43">
        <v>3</v>
      </c>
      <c r="K22" s="43">
        <v>2</v>
      </c>
      <c r="L22" s="42"/>
      <c r="M22" s="42"/>
      <c r="N22" s="43">
        <v>3</v>
      </c>
      <c r="O22" s="44">
        <v>2</v>
      </c>
      <c r="P22" s="43"/>
      <c r="Q22" s="44"/>
      <c r="R22" s="43">
        <v>3</v>
      </c>
      <c r="S22" s="44">
        <v>3</v>
      </c>
      <c r="T22" s="43">
        <v>3</v>
      </c>
      <c r="U22" s="44">
        <v>3</v>
      </c>
      <c r="V22" s="43">
        <v>3</v>
      </c>
      <c r="W22" s="44">
        <v>2</v>
      </c>
      <c r="X22" s="43"/>
      <c r="Y22" s="44"/>
      <c r="Z22" s="43"/>
      <c r="AA22" s="43"/>
      <c r="AB22" s="3">
        <v>2</v>
      </c>
      <c r="AC22" s="3">
        <v>3</v>
      </c>
    </row>
    <row r="23" spans="1:29" x14ac:dyDescent="0.25">
      <c r="A23" s="3" t="s">
        <v>38</v>
      </c>
      <c r="B23" s="43"/>
      <c r="C23" s="43"/>
      <c r="D23" s="43">
        <v>1</v>
      </c>
      <c r="E23" s="43">
        <v>1</v>
      </c>
      <c r="F23" s="43">
        <v>2</v>
      </c>
      <c r="G23" s="43">
        <v>2</v>
      </c>
      <c r="H23" s="43"/>
      <c r="I23" s="43"/>
      <c r="J23" s="43">
        <v>1</v>
      </c>
      <c r="K23" s="43">
        <v>1</v>
      </c>
      <c r="L23" s="42"/>
      <c r="M23" s="42"/>
      <c r="N23" s="43"/>
      <c r="O23" s="44">
        <v>2</v>
      </c>
      <c r="P23" s="43"/>
      <c r="Q23" s="44"/>
      <c r="R23" s="43">
        <v>3</v>
      </c>
      <c r="S23" s="44">
        <v>2</v>
      </c>
      <c r="T23" s="43">
        <v>2</v>
      </c>
      <c r="U23" s="44">
        <v>2</v>
      </c>
      <c r="V23" s="43"/>
      <c r="W23" s="44">
        <v>3</v>
      </c>
      <c r="X23" s="43"/>
      <c r="Y23" s="44"/>
      <c r="Z23" s="43">
        <v>1</v>
      </c>
      <c r="AA23" s="43">
        <v>1</v>
      </c>
      <c r="AB23" s="3">
        <v>2</v>
      </c>
    </row>
    <row r="24" spans="1:29" x14ac:dyDescent="0.25">
      <c r="A24" s="3" t="s">
        <v>39</v>
      </c>
      <c r="B24" s="43">
        <v>1</v>
      </c>
      <c r="C24" s="43">
        <v>3</v>
      </c>
      <c r="D24" s="43">
        <v>1</v>
      </c>
      <c r="E24" s="43">
        <v>1</v>
      </c>
      <c r="F24" s="43">
        <v>3</v>
      </c>
      <c r="G24" s="43">
        <v>3</v>
      </c>
      <c r="H24" s="43">
        <v>2</v>
      </c>
      <c r="I24" s="43">
        <v>1</v>
      </c>
      <c r="J24" s="43">
        <v>3</v>
      </c>
      <c r="K24" s="43">
        <v>2</v>
      </c>
      <c r="L24" s="42"/>
      <c r="M24" s="42"/>
      <c r="N24" s="43">
        <v>2</v>
      </c>
      <c r="O24" s="44">
        <v>1</v>
      </c>
      <c r="P24" s="43">
        <v>1</v>
      </c>
      <c r="Q24" s="44"/>
      <c r="R24" s="43">
        <v>2</v>
      </c>
      <c r="S24" s="44">
        <v>2</v>
      </c>
      <c r="T24" s="43">
        <v>3</v>
      </c>
      <c r="U24" s="44">
        <v>2</v>
      </c>
      <c r="V24" s="43">
        <v>3</v>
      </c>
      <c r="W24" s="44">
        <v>2</v>
      </c>
      <c r="X24" s="43"/>
      <c r="Y24" s="44"/>
      <c r="Z24" s="43">
        <v>2</v>
      </c>
      <c r="AA24" s="43"/>
    </row>
    <row r="25" spans="1:29" x14ac:dyDescent="0.25">
      <c r="A25" s="3" t="s">
        <v>40</v>
      </c>
      <c r="B25" s="43"/>
      <c r="C25" s="43"/>
      <c r="D25" s="43"/>
      <c r="E25" s="43"/>
      <c r="F25" s="43">
        <v>2</v>
      </c>
      <c r="G25" s="43"/>
      <c r="H25" s="43"/>
      <c r="I25" s="43"/>
      <c r="J25" s="43">
        <v>2</v>
      </c>
      <c r="K25" s="43"/>
      <c r="L25" s="42"/>
      <c r="M25" s="42"/>
      <c r="N25" s="43"/>
      <c r="O25" s="44"/>
      <c r="P25" s="43"/>
      <c r="Q25" s="44"/>
      <c r="R25" s="43">
        <v>3</v>
      </c>
      <c r="S25" s="44"/>
      <c r="T25" s="43">
        <v>3</v>
      </c>
      <c r="U25" s="44"/>
      <c r="V25" s="43"/>
      <c r="W25" s="44"/>
      <c r="X25" s="43"/>
      <c r="Y25" s="44"/>
      <c r="Z25" s="43"/>
      <c r="AA25" s="43"/>
      <c r="AB25" s="3">
        <v>1</v>
      </c>
    </row>
    <row r="26" spans="1:29" x14ac:dyDescent="0.25">
      <c r="A26" s="3" t="s">
        <v>41</v>
      </c>
      <c r="B26" s="43"/>
      <c r="C26" s="43"/>
      <c r="D26" s="43">
        <v>1</v>
      </c>
      <c r="E26" s="43"/>
      <c r="F26" s="43">
        <v>1</v>
      </c>
      <c r="G26" s="43">
        <v>1</v>
      </c>
      <c r="H26" s="43">
        <v>1</v>
      </c>
      <c r="I26" s="43">
        <v>1</v>
      </c>
      <c r="J26" s="43">
        <v>3</v>
      </c>
      <c r="K26" s="43">
        <v>2</v>
      </c>
      <c r="L26" s="42"/>
      <c r="M26" s="42"/>
      <c r="N26" s="43">
        <v>1</v>
      </c>
      <c r="O26" s="44">
        <v>2</v>
      </c>
      <c r="P26" s="43">
        <v>1</v>
      </c>
      <c r="Q26" s="44">
        <v>1</v>
      </c>
      <c r="R26" s="43">
        <v>1</v>
      </c>
      <c r="S26" s="44">
        <v>1</v>
      </c>
      <c r="T26" s="43">
        <v>2</v>
      </c>
      <c r="U26" s="44">
        <v>2</v>
      </c>
      <c r="V26" s="43">
        <v>2</v>
      </c>
      <c r="W26" s="44">
        <v>2</v>
      </c>
      <c r="X26" s="43"/>
      <c r="Y26" s="44"/>
      <c r="Z26" s="43">
        <v>1</v>
      </c>
      <c r="AA26" s="43">
        <v>1</v>
      </c>
      <c r="AC26" s="3">
        <v>2</v>
      </c>
    </row>
    <row r="27" spans="1:29" x14ac:dyDescent="0.25">
      <c r="A27" s="3" t="s">
        <v>42</v>
      </c>
      <c r="B27" s="43"/>
      <c r="C27" s="43"/>
      <c r="D27" s="43"/>
      <c r="E27" s="43">
        <v>1</v>
      </c>
      <c r="F27" s="43">
        <v>1</v>
      </c>
      <c r="G27" s="43">
        <v>2</v>
      </c>
      <c r="H27" s="43">
        <v>2</v>
      </c>
      <c r="I27" s="43">
        <v>2</v>
      </c>
      <c r="J27" s="43">
        <v>3</v>
      </c>
      <c r="K27" s="43">
        <v>3</v>
      </c>
      <c r="L27" s="42"/>
      <c r="M27" s="42"/>
      <c r="N27" s="43"/>
      <c r="O27" s="44">
        <v>2</v>
      </c>
      <c r="P27" s="43"/>
      <c r="Q27" s="44"/>
      <c r="R27" s="43">
        <v>3</v>
      </c>
      <c r="S27" s="44">
        <v>1</v>
      </c>
      <c r="T27" s="43">
        <v>3</v>
      </c>
      <c r="U27" s="44">
        <v>2</v>
      </c>
      <c r="V27" s="43"/>
      <c r="W27" s="44">
        <v>2</v>
      </c>
      <c r="X27" s="43"/>
      <c r="Y27" s="44"/>
      <c r="Z27" s="43"/>
      <c r="AA27" s="43"/>
    </row>
    <row r="28" spans="1:29" x14ac:dyDescent="0.25">
      <c r="A28" s="3" t="s">
        <v>93</v>
      </c>
      <c r="B28" s="43"/>
      <c r="C28" s="43"/>
      <c r="D28" s="43"/>
      <c r="E28" s="43">
        <v>1</v>
      </c>
      <c r="F28" s="43"/>
      <c r="G28" s="43">
        <v>2</v>
      </c>
      <c r="H28" s="43"/>
      <c r="I28" s="43">
        <v>1</v>
      </c>
      <c r="J28" s="43"/>
      <c r="K28" s="43"/>
      <c r="L28" s="42"/>
      <c r="M28" s="42"/>
      <c r="N28" s="43"/>
      <c r="O28" s="44"/>
      <c r="P28" s="43"/>
      <c r="Q28" s="44"/>
      <c r="R28" s="43"/>
      <c r="S28" s="44"/>
      <c r="T28" s="43">
        <v>2</v>
      </c>
      <c r="U28" s="44">
        <v>2</v>
      </c>
      <c r="V28" s="43"/>
      <c r="W28" s="44"/>
      <c r="X28" s="43"/>
      <c r="Y28" s="44">
        <v>1</v>
      </c>
      <c r="Z28" s="43">
        <v>2</v>
      </c>
      <c r="AA28" s="43">
        <v>2</v>
      </c>
      <c r="AB28" s="3">
        <v>1</v>
      </c>
    </row>
    <row r="29" spans="1:29" x14ac:dyDescent="0.25">
      <c r="A29" s="3" t="s">
        <v>44</v>
      </c>
      <c r="B29" s="43">
        <v>2</v>
      </c>
      <c r="C29" s="43">
        <v>2</v>
      </c>
      <c r="D29" s="43">
        <v>1</v>
      </c>
      <c r="E29" s="43">
        <v>1</v>
      </c>
      <c r="F29" s="43">
        <v>1</v>
      </c>
      <c r="G29" s="43">
        <v>1</v>
      </c>
      <c r="H29" s="43">
        <v>1</v>
      </c>
      <c r="I29" s="43">
        <v>1</v>
      </c>
      <c r="J29" s="43">
        <v>2</v>
      </c>
      <c r="K29" s="43">
        <v>2</v>
      </c>
      <c r="L29" s="42">
        <v>1</v>
      </c>
      <c r="M29" s="42"/>
      <c r="N29" s="43">
        <v>1</v>
      </c>
      <c r="O29" s="44">
        <v>1</v>
      </c>
      <c r="P29" s="43">
        <v>2</v>
      </c>
      <c r="Q29" s="44"/>
      <c r="R29" s="43">
        <v>1</v>
      </c>
      <c r="S29" s="44">
        <v>1</v>
      </c>
      <c r="T29" s="43">
        <v>2</v>
      </c>
      <c r="U29" s="44">
        <v>2</v>
      </c>
      <c r="V29" s="43">
        <v>1</v>
      </c>
      <c r="W29" s="44"/>
      <c r="X29" s="43"/>
      <c r="Y29" s="44"/>
      <c r="Z29" s="43">
        <v>1</v>
      </c>
      <c r="AA29" s="43"/>
    </row>
    <row r="30" spans="1:29" x14ac:dyDescent="0.25">
      <c r="A30" s="3" t="s">
        <v>80</v>
      </c>
      <c r="B30" s="43"/>
      <c r="C30" s="43"/>
      <c r="D30" s="43"/>
      <c r="E30" s="43">
        <v>1</v>
      </c>
      <c r="F30" s="43">
        <v>2</v>
      </c>
      <c r="G30" s="43">
        <v>2</v>
      </c>
      <c r="H30" s="43"/>
      <c r="I30" s="43"/>
      <c r="J30" s="43"/>
      <c r="K30" s="43"/>
      <c r="L30" s="42"/>
      <c r="M30" s="42"/>
      <c r="N30" s="43"/>
      <c r="O30" s="44"/>
      <c r="P30" s="43"/>
      <c r="Q30" s="44"/>
      <c r="R30" s="43"/>
      <c r="S30" s="44"/>
      <c r="T30" s="43">
        <v>1</v>
      </c>
      <c r="U30" s="44">
        <v>2</v>
      </c>
      <c r="V30" s="43"/>
      <c r="W30" s="44"/>
      <c r="X30" s="43"/>
      <c r="Y30" s="44"/>
      <c r="Z30" s="43">
        <v>3</v>
      </c>
      <c r="AA30" s="43">
        <v>2</v>
      </c>
      <c r="AB30" s="3">
        <v>2</v>
      </c>
    </row>
    <row r="31" spans="1:29" x14ac:dyDescent="0.25">
      <c r="A31" s="3" t="s">
        <v>81</v>
      </c>
      <c r="B31" s="43">
        <v>1</v>
      </c>
      <c r="C31" s="43">
        <v>1</v>
      </c>
      <c r="D31" s="43">
        <v>1</v>
      </c>
      <c r="E31" s="43">
        <v>1</v>
      </c>
      <c r="F31" s="43">
        <v>1</v>
      </c>
      <c r="G31" s="43">
        <v>1</v>
      </c>
      <c r="H31" s="43">
        <v>1</v>
      </c>
      <c r="I31" s="43">
        <v>1</v>
      </c>
      <c r="J31" s="43">
        <v>3</v>
      </c>
      <c r="K31" s="43"/>
      <c r="L31" s="42">
        <v>1</v>
      </c>
      <c r="M31" s="42"/>
      <c r="N31" s="43">
        <v>2</v>
      </c>
      <c r="O31" s="44">
        <v>2</v>
      </c>
      <c r="P31" s="43">
        <v>1</v>
      </c>
      <c r="Q31" s="44">
        <v>1</v>
      </c>
      <c r="R31" s="43">
        <v>2</v>
      </c>
      <c r="S31" s="44">
        <v>2</v>
      </c>
      <c r="T31" s="43">
        <v>3</v>
      </c>
      <c r="U31" s="44">
        <v>1</v>
      </c>
      <c r="V31" s="43">
        <v>2</v>
      </c>
      <c r="W31" s="44">
        <v>2</v>
      </c>
      <c r="X31" s="43"/>
      <c r="Y31" s="44">
        <v>2</v>
      </c>
      <c r="Z31" s="43">
        <v>2</v>
      </c>
      <c r="AA31" s="43"/>
      <c r="AB31" s="3">
        <v>1</v>
      </c>
    </row>
    <row r="32" spans="1:29" x14ac:dyDescent="0.25">
      <c r="A32" s="3" t="s">
        <v>82</v>
      </c>
      <c r="B32" s="43"/>
      <c r="C32" s="43"/>
      <c r="D32" s="43">
        <v>1</v>
      </c>
      <c r="E32" s="43">
        <v>1</v>
      </c>
      <c r="F32" s="43">
        <v>1</v>
      </c>
      <c r="G32" s="43">
        <v>1</v>
      </c>
      <c r="H32" s="43">
        <v>1</v>
      </c>
      <c r="I32" s="43"/>
      <c r="J32" s="43">
        <v>2</v>
      </c>
      <c r="K32" s="43"/>
      <c r="L32" s="42"/>
      <c r="M32" s="42"/>
      <c r="N32" s="43">
        <v>1</v>
      </c>
      <c r="O32" s="44">
        <v>1</v>
      </c>
      <c r="P32" s="43"/>
      <c r="Q32" s="44"/>
      <c r="R32" s="43"/>
      <c r="S32" s="44"/>
      <c r="T32" s="43">
        <v>1</v>
      </c>
      <c r="U32" s="44"/>
      <c r="V32" s="43">
        <v>1</v>
      </c>
      <c r="W32" s="44">
        <v>1</v>
      </c>
      <c r="X32" s="43"/>
      <c r="Y32" s="44"/>
      <c r="Z32" s="43">
        <v>3</v>
      </c>
      <c r="AA32" s="43"/>
    </row>
    <row r="33" spans="2:35" x14ac:dyDescent="0.2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row>
    <row r="34" spans="2:35" x14ac:dyDescent="0.2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row>
    <row r="35" spans="2:35"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row>
    <row r="36" spans="2:35" x14ac:dyDescent="0.25">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2:35" x14ac:dyDescent="0.25">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spans="2:35" x14ac:dyDescent="0.25">
      <c r="B38" s="42"/>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1"/>
      <c r="AC38" s="41"/>
      <c r="AD38" s="41"/>
      <c r="AE38" s="41"/>
      <c r="AF38" s="41"/>
      <c r="AG38" s="41"/>
      <c r="AH38" s="41"/>
      <c r="AI38" s="41"/>
    </row>
    <row r="39" spans="2:35" x14ac:dyDescent="0.25">
      <c r="B39" s="42"/>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spans="2:35"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2:35"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spans="2:35"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spans="2:35"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sheetData>
  <sheetProtection password="C2EC" sheet="1" objects="1" scenarios="1" selectLockedCells="1" selectUnlockedCells="1"/>
  <mergeCells count="14">
    <mergeCell ref="AB1:AC1"/>
    <mergeCell ref="X1:Y1"/>
    <mergeCell ref="Z1:AA1"/>
    <mergeCell ref="N1:O1"/>
    <mergeCell ref="P1:Q1"/>
    <mergeCell ref="R1:S1"/>
    <mergeCell ref="T1:U1"/>
    <mergeCell ref="V1:W1"/>
    <mergeCell ref="L1:M1"/>
    <mergeCell ref="B1:C1"/>
    <mergeCell ref="D1:E1"/>
    <mergeCell ref="F1:G1"/>
    <mergeCell ref="H1:I1"/>
    <mergeCell ref="J1:K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theme="2" tint="-0.89999084444715716"/>
  </sheetPr>
  <dimension ref="A1:AI43"/>
  <sheetViews>
    <sheetView zoomScale="85" zoomScaleNormal="85" workbookViewId="0">
      <selection activeCell="Z41" sqref="Z41"/>
    </sheetView>
  </sheetViews>
  <sheetFormatPr defaultRowHeight="15" x14ac:dyDescent="0.25"/>
  <cols>
    <col min="1" max="1" width="32.85546875" style="3" bestFit="1" customWidth="1"/>
    <col min="2" max="27" width="8" style="3" customWidth="1"/>
    <col min="28" max="16384" width="9.140625" style="3"/>
  </cols>
  <sheetData>
    <row r="1" spans="1:29" s="7" customFormat="1" ht="45.75" customHeight="1" x14ac:dyDescent="0.25">
      <c r="B1" s="188" t="s">
        <v>133</v>
      </c>
      <c r="C1" s="188"/>
      <c r="D1" s="188" t="s">
        <v>134</v>
      </c>
      <c r="E1" s="188"/>
      <c r="F1" s="188" t="s">
        <v>135</v>
      </c>
      <c r="G1" s="188"/>
      <c r="H1" s="188" t="s">
        <v>136</v>
      </c>
      <c r="I1" s="188"/>
      <c r="J1" s="188" t="s">
        <v>137</v>
      </c>
      <c r="K1" s="188"/>
      <c r="L1" s="188" t="s">
        <v>138</v>
      </c>
      <c r="M1" s="188"/>
      <c r="N1" s="188" t="s">
        <v>139</v>
      </c>
      <c r="O1" s="188"/>
      <c r="P1" s="188" t="s">
        <v>140</v>
      </c>
      <c r="Q1" s="188"/>
      <c r="R1" s="188" t="s">
        <v>141</v>
      </c>
      <c r="S1" s="188"/>
      <c r="T1" s="188" t="s">
        <v>142</v>
      </c>
      <c r="U1" s="188"/>
      <c r="V1" s="188" t="s">
        <v>143</v>
      </c>
      <c r="W1" s="188"/>
      <c r="X1" s="188" t="s">
        <v>144</v>
      </c>
      <c r="Y1" s="188"/>
      <c r="Z1" s="188" t="s">
        <v>150</v>
      </c>
      <c r="AA1" s="188"/>
      <c r="AB1" s="188" t="s">
        <v>193</v>
      </c>
      <c r="AC1" s="188"/>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c r="AB2" s="47" t="s">
        <v>145</v>
      </c>
      <c r="AC2" s="47" t="s">
        <v>146</v>
      </c>
    </row>
    <row r="3" spans="1:29" x14ac:dyDescent="0.25">
      <c r="A3" s="3" t="s">
        <v>87</v>
      </c>
      <c r="B3" s="45"/>
      <c r="C3" s="45"/>
      <c r="D3" s="43" t="s">
        <v>148</v>
      </c>
      <c r="E3" s="43" t="s">
        <v>147</v>
      </c>
      <c r="F3" s="42" t="s">
        <v>148</v>
      </c>
      <c r="G3" s="42" t="s">
        <v>148</v>
      </c>
      <c r="H3" s="43" t="s">
        <v>148</v>
      </c>
      <c r="I3" s="43" t="s">
        <v>148</v>
      </c>
      <c r="J3" s="43" t="s">
        <v>148</v>
      </c>
      <c r="K3" s="43" t="s">
        <v>148</v>
      </c>
      <c r="L3" s="42"/>
      <c r="M3" s="42"/>
      <c r="N3" s="43"/>
      <c r="O3" s="44" t="s">
        <v>147</v>
      </c>
      <c r="P3" s="43"/>
      <c r="Q3" s="44"/>
      <c r="R3" s="42" t="s">
        <v>148</v>
      </c>
      <c r="S3" s="44" t="s">
        <v>147</v>
      </c>
      <c r="T3" s="42" t="s">
        <v>154</v>
      </c>
      <c r="U3" s="44" t="s">
        <v>148</v>
      </c>
      <c r="V3" s="43"/>
      <c r="W3" s="44" t="s">
        <v>147</v>
      </c>
      <c r="X3" s="43"/>
      <c r="Y3" s="44"/>
      <c r="Z3" s="43" t="s">
        <v>147</v>
      </c>
      <c r="AA3" s="43" t="s">
        <v>147</v>
      </c>
    </row>
    <row r="4" spans="1:29" x14ac:dyDescent="0.25">
      <c r="A4" s="3" t="s">
        <v>19</v>
      </c>
      <c r="B4" s="43"/>
      <c r="C4" s="43"/>
      <c r="D4" s="43" t="s">
        <v>148</v>
      </c>
      <c r="E4" s="43" t="s">
        <v>147</v>
      </c>
      <c r="F4" s="43" t="s">
        <v>147</v>
      </c>
      <c r="G4" s="43" t="s">
        <v>147</v>
      </c>
      <c r="H4" s="43" t="s">
        <v>148</v>
      </c>
      <c r="I4" s="43"/>
      <c r="J4" s="43" t="s">
        <v>147</v>
      </c>
      <c r="K4" s="43" t="s">
        <v>148</v>
      </c>
      <c r="L4" s="42"/>
      <c r="M4" s="42"/>
      <c r="N4" s="43"/>
      <c r="O4" s="44"/>
      <c r="P4" s="43"/>
      <c r="Q4" s="44"/>
      <c r="R4" s="43" t="s">
        <v>148</v>
      </c>
      <c r="S4" s="44" t="s">
        <v>148</v>
      </c>
      <c r="T4" s="43" t="s">
        <v>147</v>
      </c>
      <c r="U4" s="44" t="s">
        <v>147</v>
      </c>
      <c r="V4" s="43"/>
      <c r="W4" s="44"/>
      <c r="X4" s="43"/>
      <c r="Y4" s="44"/>
      <c r="Z4" s="43" t="s">
        <v>147</v>
      </c>
      <c r="AA4" s="43" t="s">
        <v>148</v>
      </c>
    </row>
    <row r="5" spans="1:29" x14ac:dyDescent="0.25">
      <c r="A5" s="3" t="s">
        <v>20</v>
      </c>
      <c r="B5" s="43"/>
      <c r="C5" s="43" t="s">
        <v>148</v>
      </c>
      <c r="D5" s="43" t="s">
        <v>147</v>
      </c>
      <c r="E5" s="43" t="s">
        <v>147</v>
      </c>
      <c r="F5" s="43" t="s">
        <v>149</v>
      </c>
      <c r="G5" s="43" t="s">
        <v>149</v>
      </c>
      <c r="H5" s="43" t="s">
        <v>149</v>
      </c>
      <c r="I5" s="43" t="s">
        <v>149</v>
      </c>
      <c r="J5" s="43" t="s">
        <v>149</v>
      </c>
      <c r="K5" s="43" t="s">
        <v>149</v>
      </c>
      <c r="L5" s="43" t="s">
        <v>149</v>
      </c>
      <c r="M5" s="43" t="s">
        <v>148</v>
      </c>
      <c r="N5" s="43" t="s">
        <v>148</v>
      </c>
      <c r="O5" s="44" t="s">
        <v>148</v>
      </c>
      <c r="P5" s="43" t="s">
        <v>148</v>
      </c>
      <c r="Q5" s="44" t="s">
        <v>148</v>
      </c>
      <c r="R5" s="43" t="s">
        <v>147</v>
      </c>
      <c r="S5" s="44" t="s">
        <v>147</v>
      </c>
      <c r="T5" s="43" t="s">
        <v>155</v>
      </c>
      <c r="U5" s="44" t="s">
        <v>149</v>
      </c>
      <c r="V5" s="43" t="s">
        <v>149</v>
      </c>
      <c r="W5" s="44" t="s">
        <v>148</v>
      </c>
      <c r="X5" s="43"/>
      <c r="Y5" s="44"/>
      <c r="Z5" s="43"/>
      <c r="AA5" s="43"/>
      <c r="AB5" s="3" t="s">
        <v>149</v>
      </c>
      <c r="AC5" s="3" t="s">
        <v>148</v>
      </c>
    </row>
    <row r="6" spans="1:29" x14ac:dyDescent="0.25">
      <c r="A6" s="3" t="s">
        <v>21</v>
      </c>
      <c r="B6" s="43"/>
      <c r="C6" s="43"/>
      <c r="D6" s="43"/>
      <c r="E6" s="43"/>
      <c r="F6" s="43"/>
      <c r="G6" s="43" t="s">
        <v>148</v>
      </c>
      <c r="H6" s="43"/>
      <c r="I6" s="43" t="s">
        <v>148</v>
      </c>
      <c r="J6" s="43"/>
      <c r="K6" s="43" t="s">
        <v>148</v>
      </c>
      <c r="L6" s="42"/>
      <c r="M6" s="42"/>
      <c r="N6" s="43"/>
      <c r="O6" s="44" t="s">
        <v>147</v>
      </c>
      <c r="P6" s="43"/>
      <c r="Q6" s="44"/>
      <c r="R6" s="43"/>
      <c r="S6" s="44" t="s">
        <v>147</v>
      </c>
      <c r="T6" s="43"/>
      <c r="U6" s="44" t="s">
        <v>147</v>
      </c>
      <c r="V6" s="43"/>
      <c r="W6" s="44" t="s">
        <v>147</v>
      </c>
      <c r="X6" s="43"/>
      <c r="Y6" s="44"/>
      <c r="Z6" s="43"/>
      <c r="AA6" s="43" t="s">
        <v>147</v>
      </c>
    </row>
    <row r="7" spans="1:29" x14ac:dyDescent="0.25">
      <c r="A7" s="3" t="s">
        <v>22</v>
      </c>
      <c r="B7" s="43" t="s">
        <v>149</v>
      </c>
      <c r="C7" s="43" t="s">
        <v>148</v>
      </c>
      <c r="D7" s="43" t="s">
        <v>147</v>
      </c>
      <c r="E7" s="43"/>
      <c r="F7" s="43" t="s">
        <v>149</v>
      </c>
      <c r="G7" s="43" t="s">
        <v>147</v>
      </c>
      <c r="H7" s="43" t="s">
        <v>149</v>
      </c>
      <c r="I7" s="43" t="s">
        <v>147</v>
      </c>
      <c r="J7" s="43" t="s">
        <v>149</v>
      </c>
      <c r="K7" s="43" t="s">
        <v>149</v>
      </c>
      <c r="L7" s="42" t="s">
        <v>148</v>
      </c>
      <c r="M7" s="42" t="s">
        <v>148</v>
      </c>
      <c r="N7" s="43" t="s">
        <v>149</v>
      </c>
      <c r="O7" s="44" t="s">
        <v>148</v>
      </c>
      <c r="P7" s="43" t="s">
        <v>149</v>
      </c>
      <c r="Q7" s="44" t="s">
        <v>148</v>
      </c>
      <c r="R7" s="43" t="s">
        <v>147</v>
      </c>
      <c r="S7" s="44" t="s">
        <v>148</v>
      </c>
      <c r="T7" s="43" t="s">
        <v>148</v>
      </c>
      <c r="U7" s="44" t="s">
        <v>148</v>
      </c>
      <c r="V7" s="43" t="s">
        <v>149</v>
      </c>
      <c r="W7" s="44" t="s">
        <v>148</v>
      </c>
      <c r="X7" s="43"/>
      <c r="Y7" s="44"/>
      <c r="Z7" s="43"/>
      <c r="AA7" s="43"/>
      <c r="AB7" s="3" t="s">
        <v>149</v>
      </c>
      <c r="AC7" s="3" t="s">
        <v>147</v>
      </c>
    </row>
    <row r="8" spans="1:29" x14ac:dyDescent="0.25">
      <c r="A8" s="3" t="s">
        <v>23</v>
      </c>
      <c r="B8" s="43"/>
      <c r="C8" s="43"/>
      <c r="D8" s="43"/>
      <c r="E8" s="43"/>
      <c r="F8" s="43" t="s">
        <v>148</v>
      </c>
      <c r="G8" s="43" t="s">
        <v>148</v>
      </c>
      <c r="H8" s="43" t="s">
        <v>149</v>
      </c>
      <c r="I8" s="43" t="s">
        <v>148</v>
      </c>
      <c r="J8" s="43" t="s">
        <v>148</v>
      </c>
      <c r="K8" s="43" t="s">
        <v>148</v>
      </c>
      <c r="L8" s="42"/>
      <c r="M8" s="42"/>
      <c r="N8" s="43"/>
      <c r="O8" s="44" t="s">
        <v>147</v>
      </c>
      <c r="P8" s="43"/>
      <c r="Q8" s="44"/>
      <c r="R8" s="43"/>
      <c r="S8" s="44"/>
      <c r="T8" s="43" t="s">
        <v>147</v>
      </c>
      <c r="U8" s="44" t="s">
        <v>148</v>
      </c>
      <c r="V8" s="43"/>
      <c r="W8" s="44" t="s">
        <v>147</v>
      </c>
      <c r="X8" s="43"/>
      <c r="Y8" s="44"/>
      <c r="Z8" s="43" t="s">
        <v>148</v>
      </c>
      <c r="AA8" s="43" t="s">
        <v>148</v>
      </c>
    </row>
    <row r="9" spans="1:29" x14ac:dyDescent="0.25">
      <c r="A9" s="3" t="s">
        <v>88</v>
      </c>
      <c r="B9" s="43"/>
      <c r="C9" s="43"/>
      <c r="D9" s="43" t="s">
        <v>151</v>
      </c>
      <c r="E9" s="43" t="s">
        <v>147</v>
      </c>
      <c r="F9" s="43" t="s">
        <v>148</v>
      </c>
      <c r="G9" s="43" t="s">
        <v>148</v>
      </c>
      <c r="H9" s="43" t="s">
        <v>153</v>
      </c>
      <c r="I9" s="43" t="s">
        <v>147</v>
      </c>
      <c r="J9" s="43" t="s">
        <v>149</v>
      </c>
      <c r="K9" s="43"/>
      <c r="L9" s="42"/>
      <c r="M9" s="42"/>
      <c r="N9" s="43" t="s">
        <v>147</v>
      </c>
      <c r="O9" s="44" t="s">
        <v>147</v>
      </c>
      <c r="P9" s="43"/>
      <c r="Q9" s="44"/>
      <c r="R9" s="43" t="s">
        <v>147</v>
      </c>
      <c r="S9" s="44" t="s">
        <v>147</v>
      </c>
      <c r="T9" s="43" t="s">
        <v>155</v>
      </c>
      <c r="U9" s="44" t="s">
        <v>148</v>
      </c>
      <c r="V9" s="43" t="s">
        <v>147</v>
      </c>
      <c r="W9" s="44" t="s">
        <v>147</v>
      </c>
      <c r="X9" s="43" t="s">
        <v>149</v>
      </c>
      <c r="Y9" s="44"/>
      <c r="Z9" s="43" t="s">
        <v>149</v>
      </c>
      <c r="AA9" s="43"/>
    </row>
    <row r="10" spans="1:29" x14ac:dyDescent="0.25">
      <c r="A10" s="3" t="s">
        <v>89</v>
      </c>
      <c r="B10" s="43"/>
      <c r="C10" s="43"/>
      <c r="D10" s="43"/>
      <c r="E10" s="43"/>
      <c r="F10" s="43" t="s">
        <v>148</v>
      </c>
      <c r="G10" s="43"/>
      <c r="H10" s="43"/>
      <c r="I10" s="43"/>
      <c r="J10" s="43" t="s">
        <v>148</v>
      </c>
      <c r="K10" s="43"/>
      <c r="L10" s="42"/>
      <c r="M10" s="42"/>
      <c r="N10" s="43"/>
      <c r="O10" s="44" t="s">
        <v>148</v>
      </c>
      <c r="P10" s="43"/>
      <c r="Q10" s="44"/>
      <c r="R10" s="43"/>
      <c r="S10" s="44"/>
      <c r="T10" s="43"/>
      <c r="U10" s="44"/>
      <c r="V10" s="43"/>
      <c r="W10" s="44" t="s">
        <v>147</v>
      </c>
      <c r="X10" s="43"/>
      <c r="Y10" s="44"/>
      <c r="Z10" s="43"/>
      <c r="AA10" s="43"/>
    </row>
    <row r="11" spans="1:29" x14ac:dyDescent="0.25">
      <c r="A11" s="3" t="s">
        <v>26</v>
      </c>
      <c r="B11" s="43" t="s">
        <v>148</v>
      </c>
      <c r="C11" s="43" t="s">
        <v>147</v>
      </c>
      <c r="D11" s="43"/>
      <c r="E11" s="43" t="s">
        <v>147</v>
      </c>
      <c r="F11" s="43" t="s">
        <v>149</v>
      </c>
      <c r="G11" s="43" t="s">
        <v>149</v>
      </c>
      <c r="H11" s="43" t="s">
        <v>148</v>
      </c>
      <c r="I11" s="43" t="s">
        <v>147</v>
      </c>
      <c r="J11" s="43" t="s">
        <v>148</v>
      </c>
      <c r="K11" s="43" t="s">
        <v>148</v>
      </c>
      <c r="L11" s="42"/>
      <c r="M11" s="42"/>
      <c r="N11" s="43" t="s">
        <v>148</v>
      </c>
      <c r="O11" s="44" t="s">
        <v>147</v>
      </c>
      <c r="P11" s="43" t="s">
        <v>147</v>
      </c>
      <c r="Q11" s="44" t="s">
        <v>147</v>
      </c>
      <c r="R11" s="43"/>
      <c r="S11" s="44" t="s">
        <v>147</v>
      </c>
      <c r="T11" s="43" t="s">
        <v>149</v>
      </c>
      <c r="U11" s="44" t="s">
        <v>148</v>
      </c>
      <c r="V11" s="43" t="s">
        <v>147</v>
      </c>
      <c r="W11" s="44" t="s">
        <v>147</v>
      </c>
      <c r="X11" s="43"/>
      <c r="Y11" s="44"/>
      <c r="Z11" s="43"/>
      <c r="AA11" s="43"/>
      <c r="AC11" s="3" t="s">
        <v>147</v>
      </c>
    </row>
    <row r="12" spans="1:29" x14ac:dyDescent="0.25">
      <c r="A12" s="3" t="s">
        <v>27</v>
      </c>
      <c r="B12" s="43" t="s">
        <v>147</v>
      </c>
      <c r="C12" s="43" t="s">
        <v>147</v>
      </c>
      <c r="D12" s="43" t="s">
        <v>148</v>
      </c>
      <c r="E12" s="43" t="s">
        <v>147</v>
      </c>
      <c r="F12" s="43" t="s">
        <v>148</v>
      </c>
      <c r="G12" s="43" t="s">
        <v>148</v>
      </c>
      <c r="H12" s="43" t="s">
        <v>148</v>
      </c>
      <c r="I12" s="43" t="s">
        <v>147</v>
      </c>
      <c r="J12" s="43" t="s">
        <v>148</v>
      </c>
      <c r="K12" s="43" t="s">
        <v>149</v>
      </c>
      <c r="L12" s="42" t="s">
        <v>148</v>
      </c>
      <c r="M12" s="42"/>
      <c r="N12" s="43" t="s">
        <v>148</v>
      </c>
      <c r="O12" s="44" t="s">
        <v>148</v>
      </c>
      <c r="P12" s="43" t="s">
        <v>148</v>
      </c>
      <c r="Q12" s="44" t="s">
        <v>148</v>
      </c>
      <c r="R12" s="43"/>
      <c r="S12" s="44" t="s">
        <v>147</v>
      </c>
      <c r="T12" s="43" t="s">
        <v>147</v>
      </c>
      <c r="U12" s="44" t="s">
        <v>147</v>
      </c>
      <c r="V12" s="43"/>
      <c r="W12" s="44" t="s">
        <v>147</v>
      </c>
      <c r="X12" s="43"/>
      <c r="Y12" s="44"/>
      <c r="Z12" s="43"/>
      <c r="AA12" s="43"/>
      <c r="AC12" s="3" t="s">
        <v>147</v>
      </c>
    </row>
    <row r="13" spans="1:29" x14ac:dyDescent="0.25">
      <c r="A13" s="3" t="s">
        <v>28</v>
      </c>
      <c r="B13" s="43"/>
      <c r="C13" s="43"/>
      <c r="D13" s="43"/>
      <c r="E13" s="43" t="s">
        <v>147</v>
      </c>
      <c r="F13" s="43" t="s">
        <v>147</v>
      </c>
      <c r="G13" s="43" t="s">
        <v>147</v>
      </c>
      <c r="H13" s="43"/>
      <c r="I13" s="43" t="s">
        <v>148</v>
      </c>
      <c r="J13" s="43" t="s">
        <v>148</v>
      </c>
      <c r="K13" s="43" t="s">
        <v>148</v>
      </c>
      <c r="L13" s="42"/>
      <c r="M13" s="42"/>
      <c r="N13" s="43"/>
      <c r="O13" s="44"/>
      <c r="P13" s="43"/>
      <c r="Q13" s="44"/>
      <c r="R13" s="43" t="s">
        <v>148</v>
      </c>
      <c r="S13" s="44" t="s">
        <v>147</v>
      </c>
      <c r="T13" s="43" t="s">
        <v>148</v>
      </c>
      <c r="U13" s="44" t="s">
        <v>147</v>
      </c>
      <c r="V13" s="43"/>
      <c r="W13" s="44" t="s">
        <v>147</v>
      </c>
      <c r="X13" s="43"/>
      <c r="Y13" s="44"/>
      <c r="Z13" s="43" t="s">
        <v>147</v>
      </c>
      <c r="AA13" s="43" t="s">
        <v>148</v>
      </c>
    </row>
    <row r="14" spans="1:29" x14ac:dyDescent="0.25">
      <c r="A14" s="3" t="s">
        <v>29</v>
      </c>
      <c r="B14" s="43" t="s">
        <v>148</v>
      </c>
      <c r="C14" s="43"/>
      <c r="D14" s="43"/>
      <c r="E14" s="43"/>
      <c r="F14" s="43" t="s">
        <v>148</v>
      </c>
      <c r="G14" s="43"/>
      <c r="H14" s="43"/>
      <c r="I14" s="43"/>
      <c r="J14" s="43" t="s">
        <v>148</v>
      </c>
      <c r="K14" s="43"/>
      <c r="L14" s="42" t="s">
        <v>148</v>
      </c>
      <c r="M14" s="42"/>
      <c r="N14" s="43"/>
      <c r="O14" s="44"/>
      <c r="P14" s="43"/>
      <c r="Q14" s="44"/>
      <c r="R14" s="43"/>
      <c r="S14" s="44"/>
      <c r="T14" s="43" t="s">
        <v>149</v>
      </c>
      <c r="U14" s="44"/>
      <c r="V14" s="43"/>
      <c r="W14" s="44"/>
      <c r="X14" s="43"/>
      <c r="Y14" s="44"/>
      <c r="Z14" s="43" t="s">
        <v>148</v>
      </c>
      <c r="AA14" s="43"/>
    </row>
    <row r="15" spans="1:29" x14ac:dyDescent="0.25">
      <c r="A15" s="3" t="s">
        <v>30</v>
      </c>
      <c r="B15" s="43"/>
      <c r="C15" s="43"/>
      <c r="D15" s="43"/>
      <c r="E15" s="43"/>
      <c r="F15" s="43" t="s">
        <v>147</v>
      </c>
      <c r="G15" s="43" t="s">
        <v>147</v>
      </c>
      <c r="H15" s="43"/>
      <c r="I15" s="43" t="s">
        <v>147</v>
      </c>
      <c r="J15" s="43" t="s">
        <v>147</v>
      </c>
      <c r="K15" s="43" t="s">
        <v>148</v>
      </c>
      <c r="L15" s="42"/>
      <c r="M15" s="42"/>
      <c r="N15" s="43"/>
      <c r="O15" s="44" t="s">
        <v>147</v>
      </c>
      <c r="P15" s="43"/>
      <c r="Q15" s="44"/>
      <c r="R15" s="43"/>
      <c r="S15" s="44"/>
      <c r="T15" s="43" t="s">
        <v>147</v>
      </c>
      <c r="U15" s="44" t="s">
        <v>148</v>
      </c>
      <c r="V15" s="43"/>
      <c r="W15" s="44" t="s">
        <v>147</v>
      </c>
      <c r="X15" s="43"/>
      <c r="Y15" s="44"/>
      <c r="Z15" s="43" t="s">
        <v>148</v>
      </c>
      <c r="AA15" s="43" t="s">
        <v>148</v>
      </c>
    </row>
    <row r="16" spans="1:29" x14ac:dyDescent="0.25">
      <c r="A16" s="3" t="s">
        <v>90</v>
      </c>
      <c r="B16" s="43"/>
      <c r="C16" s="43"/>
      <c r="D16" s="43" t="s">
        <v>152</v>
      </c>
      <c r="E16" s="43"/>
      <c r="F16" s="43" t="s">
        <v>148</v>
      </c>
      <c r="G16" s="43"/>
      <c r="H16" s="43"/>
      <c r="I16" s="43"/>
      <c r="J16" s="43" t="s">
        <v>148</v>
      </c>
      <c r="K16" s="43"/>
      <c r="L16" s="42"/>
      <c r="M16" s="42"/>
      <c r="N16" s="43"/>
      <c r="O16" s="44"/>
      <c r="P16" s="43"/>
      <c r="Q16" s="44"/>
      <c r="R16" s="43" t="s">
        <v>147</v>
      </c>
      <c r="S16" s="44"/>
      <c r="T16" s="43" t="s">
        <v>147</v>
      </c>
      <c r="U16" s="44"/>
      <c r="V16" s="43"/>
      <c r="W16" s="44"/>
      <c r="X16" s="43"/>
      <c r="Y16" s="44"/>
      <c r="Z16" s="43" t="s">
        <v>148</v>
      </c>
      <c r="AA16" s="43"/>
    </row>
    <row r="17" spans="1:29" x14ac:dyDescent="0.25">
      <c r="A17" s="3" t="s">
        <v>91</v>
      </c>
      <c r="B17" s="43"/>
      <c r="C17" s="43"/>
      <c r="D17" s="43"/>
      <c r="E17" s="43" t="s">
        <v>147</v>
      </c>
      <c r="F17" s="43" t="s">
        <v>148</v>
      </c>
      <c r="G17" s="43" t="s">
        <v>148</v>
      </c>
      <c r="H17" s="43"/>
      <c r="I17" s="43" t="s">
        <v>147</v>
      </c>
      <c r="J17" s="43"/>
      <c r="K17" s="43"/>
      <c r="L17" s="42"/>
      <c r="M17" s="42"/>
      <c r="N17" s="43"/>
      <c r="O17" s="44"/>
      <c r="P17" s="43"/>
      <c r="Q17" s="44"/>
      <c r="R17" s="43"/>
      <c r="S17" s="44"/>
      <c r="T17" s="43" t="s">
        <v>147</v>
      </c>
      <c r="U17" s="44" t="s">
        <v>148</v>
      </c>
      <c r="V17" s="43"/>
      <c r="W17" s="44"/>
      <c r="X17" s="43" t="s">
        <v>147</v>
      </c>
      <c r="Y17" s="44"/>
      <c r="Z17" s="43" t="s">
        <v>149</v>
      </c>
      <c r="AA17" s="43" t="s">
        <v>148</v>
      </c>
    </row>
    <row r="18" spans="1:29" x14ac:dyDescent="0.25">
      <c r="A18" s="3" t="s">
        <v>33</v>
      </c>
      <c r="B18" s="43" t="s">
        <v>148</v>
      </c>
      <c r="C18" s="43" t="s">
        <v>148</v>
      </c>
      <c r="D18" s="43"/>
      <c r="E18" s="43" t="s">
        <v>147</v>
      </c>
      <c r="F18" s="43" t="s">
        <v>149</v>
      </c>
      <c r="G18" s="43" t="s">
        <v>149</v>
      </c>
      <c r="H18" s="43" t="s">
        <v>149</v>
      </c>
      <c r="I18" s="43" t="s">
        <v>149</v>
      </c>
      <c r="J18" s="43" t="s">
        <v>149</v>
      </c>
      <c r="K18" s="43" t="s">
        <v>149</v>
      </c>
      <c r="L18" s="42" t="s">
        <v>149</v>
      </c>
      <c r="M18" s="42" t="s">
        <v>148</v>
      </c>
      <c r="N18" s="43" t="s">
        <v>149</v>
      </c>
      <c r="O18" s="44" t="s">
        <v>148</v>
      </c>
      <c r="P18" s="43" t="s">
        <v>149</v>
      </c>
      <c r="Q18" s="44" t="s">
        <v>148</v>
      </c>
      <c r="R18" s="43" t="s">
        <v>147</v>
      </c>
      <c r="S18" s="44" t="s">
        <v>148</v>
      </c>
      <c r="T18" s="43" t="s">
        <v>148</v>
      </c>
      <c r="U18" s="44" t="s">
        <v>148</v>
      </c>
      <c r="V18" s="43" t="s">
        <v>149</v>
      </c>
      <c r="W18" s="44" t="s">
        <v>148</v>
      </c>
      <c r="X18" s="43"/>
      <c r="Y18" s="44"/>
      <c r="Z18" s="43"/>
      <c r="AA18" s="43"/>
      <c r="AB18" s="3" t="s">
        <v>149</v>
      </c>
      <c r="AC18" s="3" t="s">
        <v>147</v>
      </c>
    </row>
    <row r="19" spans="1:29" x14ac:dyDescent="0.25">
      <c r="A19" s="3" t="s">
        <v>34</v>
      </c>
      <c r="B19" s="43" t="s">
        <v>148</v>
      </c>
      <c r="C19" s="43" t="s">
        <v>147</v>
      </c>
      <c r="D19" s="43"/>
      <c r="E19" s="43" t="s">
        <v>147</v>
      </c>
      <c r="F19" s="43" t="s">
        <v>149</v>
      </c>
      <c r="G19" s="43" t="s">
        <v>148</v>
      </c>
      <c r="H19" s="43" t="s">
        <v>149</v>
      </c>
      <c r="I19" s="43" t="s">
        <v>147</v>
      </c>
      <c r="J19" s="43" t="s">
        <v>149</v>
      </c>
      <c r="K19" s="43"/>
      <c r="L19" s="42"/>
      <c r="M19" s="42"/>
      <c r="N19" s="43" t="s">
        <v>148</v>
      </c>
      <c r="O19" s="44" t="s">
        <v>148</v>
      </c>
      <c r="P19" s="43" t="s">
        <v>148</v>
      </c>
      <c r="Q19" s="44"/>
      <c r="R19" s="43" t="s">
        <v>148</v>
      </c>
      <c r="S19" s="44" t="s">
        <v>147</v>
      </c>
      <c r="T19" s="43" t="s">
        <v>149</v>
      </c>
      <c r="U19" s="44" t="s">
        <v>149</v>
      </c>
      <c r="V19" s="43" t="s">
        <v>149</v>
      </c>
      <c r="W19" s="44" t="s">
        <v>147</v>
      </c>
      <c r="X19" s="43"/>
      <c r="Y19" s="44"/>
      <c r="Z19" s="43" t="s">
        <v>147</v>
      </c>
      <c r="AA19" s="43" t="s">
        <v>147</v>
      </c>
    </row>
    <row r="20" spans="1:29" x14ac:dyDescent="0.25">
      <c r="A20" s="3" t="s">
        <v>92</v>
      </c>
      <c r="B20" s="43"/>
      <c r="C20" s="43"/>
      <c r="D20" s="43"/>
      <c r="E20" s="43"/>
      <c r="F20" s="43" t="s">
        <v>147</v>
      </c>
      <c r="G20" s="43" t="s">
        <v>147</v>
      </c>
      <c r="H20" s="43" t="s">
        <v>148</v>
      </c>
      <c r="I20" s="43" t="s">
        <v>148</v>
      </c>
      <c r="J20" s="43" t="s">
        <v>147</v>
      </c>
      <c r="K20" s="43" t="s">
        <v>147</v>
      </c>
      <c r="L20" s="42"/>
      <c r="M20" s="42"/>
      <c r="N20" s="43"/>
      <c r="O20" s="44"/>
      <c r="P20" s="43"/>
      <c r="Q20" s="44"/>
      <c r="R20" s="43"/>
      <c r="S20" s="44"/>
      <c r="T20" s="43" t="s">
        <v>147</v>
      </c>
      <c r="U20" s="44" t="s">
        <v>148</v>
      </c>
      <c r="V20" s="43"/>
      <c r="W20" s="44"/>
      <c r="X20" s="43" t="s">
        <v>149</v>
      </c>
      <c r="Y20" s="44"/>
      <c r="Z20" s="43" t="s">
        <v>149</v>
      </c>
      <c r="AA20" s="43" t="s">
        <v>148</v>
      </c>
    </row>
    <row r="21" spans="1:29" x14ac:dyDescent="0.25">
      <c r="A21" s="3" t="s">
        <v>36</v>
      </c>
      <c r="B21" s="43" t="s">
        <v>149</v>
      </c>
      <c r="C21" s="43" t="s">
        <v>148</v>
      </c>
      <c r="D21" s="43"/>
      <c r="E21" s="43" t="s">
        <v>147</v>
      </c>
      <c r="F21" s="43" t="s">
        <v>148</v>
      </c>
      <c r="G21" s="43" t="s">
        <v>148</v>
      </c>
      <c r="H21" s="43" t="s">
        <v>149</v>
      </c>
      <c r="I21" s="43" t="s">
        <v>148</v>
      </c>
      <c r="J21" s="43" t="s">
        <v>149</v>
      </c>
      <c r="K21" s="43" t="s">
        <v>148</v>
      </c>
      <c r="L21" s="42" t="s">
        <v>148</v>
      </c>
      <c r="M21" s="42"/>
      <c r="N21" s="43" t="s">
        <v>148</v>
      </c>
      <c r="O21" s="44" t="s">
        <v>148</v>
      </c>
      <c r="P21" s="43"/>
      <c r="Q21" s="44"/>
      <c r="R21" s="43" t="s">
        <v>148</v>
      </c>
      <c r="S21" s="44" t="s">
        <v>148</v>
      </c>
      <c r="T21" s="43" t="s">
        <v>149</v>
      </c>
      <c r="U21" s="44" t="s">
        <v>148</v>
      </c>
      <c r="V21" s="43" t="s">
        <v>148</v>
      </c>
      <c r="W21" s="44" t="s">
        <v>148</v>
      </c>
      <c r="X21" s="43"/>
      <c r="Y21" s="44"/>
      <c r="Z21" s="43" t="s">
        <v>148</v>
      </c>
      <c r="AA21" s="43"/>
    </row>
    <row r="22" spans="1:29" x14ac:dyDescent="0.25">
      <c r="A22" s="3" t="s">
        <v>37</v>
      </c>
      <c r="B22" s="43"/>
      <c r="C22" s="43"/>
      <c r="D22" s="43"/>
      <c r="E22" s="43" t="s">
        <v>147</v>
      </c>
      <c r="F22" s="43" t="s">
        <v>149</v>
      </c>
      <c r="G22" s="43" t="s">
        <v>148</v>
      </c>
      <c r="H22" s="43"/>
      <c r="I22" s="43"/>
      <c r="J22" s="43" t="s">
        <v>149</v>
      </c>
      <c r="K22" s="43" t="s">
        <v>148</v>
      </c>
      <c r="L22" s="42"/>
      <c r="M22" s="42"/>
      <c r="N22" s="43" t="s">
        <v>149</v>
      </c>
      <c r="O22" s="44" t="s">
        <v>148</v>
      </c>
      <c r="P22" s="43"/>
      <c r="Q22" s="44"/>
      <c r="R22" s="43" t="s">
        <v>149</v>
      </c>
      <c r="S22" s="44" t="s">
        <v>149</v>
      </c>
      <c r="T22" s="43" t="s">
        <v>149</v>
      </c>
      <c r="U22" s="44" t="s">
        <v>149</v>
      </c>
      <c r="V22" s="43" t="s">
        <v>149</v>
      </c>
      <c r="W22" s="44" t="s">
        <v>148</v>
      </c>
      <c r="X22" s="43"/>
      <c r="Y22" s="44"/>
      <c r="Z22" s="43"/>
      <c r="AA22" s="43"/>
      <c r="AC22" s="3" t="s">
        <v>149</v>
      </c>
    </row>
    <row r="23" spans="1:29" x14ac:dyDescent="0.25">
      <c r="A23" s="3" t="s">
        <v>38</v>
      </c>
      <c r="B23" s="43"/>
      <c r="C23" s="43"/>
      <c r="D23" s="43" t="s">
        <v>147</v>
      </c>
      <c r="E23" s="43" t="s">
        <v>147</v>
      </c>
      <c r="F23" s="43" t="s">
        <v>148</v>
      </c>
      <c r="G23" s="43" t="s">
        <v>148</v>
      </c>
      <c r="H23" s="43"/>
      <c r="I23" s="43"/>
      <c r="J23" s="43" t="s">
        <v>147</v>
      </c>
      <c r="K23" s="43" t="s">
        <v>147</v>
      </c>
      <c r="L23" s="42"/>
      <c r="M23" s="42"/>
      <c r="N23" s="43"/>
      <c r="O23" s="44" t="s">
        <v>148</v>
      </c>
      <c r="P23" s="43"/>
      <c r="Q23" s="44"/>
      <c r="R23" s="43" t="s">
        <v>149</v>
      </c>
      <c r="S23" s="44" t="s">
        <v>148</v>
      </c>
      <c r="T23" s="43" t="s">
        <v>148</v>
      </c>
      <c r="U23" s="44" t="s">
        <v>148</v>
      </c>
      <c r="V23" s="43"/>
      <c r="W23" s="44" t="s">
        <v>149</v>
      </c>
      <c r="X23" s="43"/>
      <c r="Y23" s="44"/>
      <c r="Z23" s="43" t="s">
        <v>147</v>
      </c>
      <c r="AA23" s="43" t="s">
        <v>147</v>
      </c>
      <c r="AB23" s="3" t="s">
        <v>148</v>
      </c>
      <c r="AC23" s="3" t="s">
        <v>149</v>
      </c>
    </row>
    <row r="24" spans="1:29" x14ac:dyDescent="0.25">
      <c r="A24" s="3" t="s">
        <v>39</v>
      </c>
      <c r="B24" s="43" t="s">
        <v>147</v>
      </c>
      <c r="C24" s="43" t="s">
        <v>147</v>
      </c>
      <c r="D24" s="43" t="s">
        <v>147</v>
      </c>
      <c r="E24" s="43" t="s">
        <v>147</v>
      </c>
      <c r="F24" s="43" t="s">
        <v>149</v>
      </c>
      <c r="G24" s="43" t="s">
        <v>149</v>
      </c>
      <c r="H24" s="43" t="s">
        <v>148</v>
      </c>
      <c r="I24" s="43" t="s">
        <v>147</v>
      </c>
      <c r="J24" s="43" t="s">
        <v>149</v>
      </c>
      <c r="K24" s="43" t="s">
        <v>148</v>
      </c>
      <c r="L24" s="42"/>
      <c r="M24" s="42"/>
      <c r="N24" s="43" t="s">
        <v>148</v>
      </c>
      <c r="O24" s="44" t="s">
        <v>147</v>
      </c>
      <c r="P24" s="43" t="s">
        <v>147</v>
      </c>
      <c r="Q24" s="44"/>
      <c r="R24" s="43" t="s">
        <v>148</v>
      </c>
      <c r="S24" s="44" t="s">
        <v>148</v>
      </c>
      <c r="T24" s="43" t="s">
        <v>149</v>
      </c>
      <c r="U24" s="44" t="s">
        <v>148</v>
      </c>
      <c r="V24" s="43" t="s">
        <v>149</v>
      </c>
      <c r="W24" s="44" t="s">
        <v>148</v>
      </c>
      <c r="X24" s="43"/>
      <c r="Y24" s="44"/>
      <c r="Z24" s="43" t="s">
        <v>148</v>
      </c>
      <c r="AA24" s="43"/>
      <c r="AB24" s="3" t="s">
        <v>148</v>
      </c>
    </row>
    <row r="25" spans="1:29" x14ac:dyDescent="0.25">
      <c r="A25" s="3" t="s">
        <v>40</v>
      </c>
      <c r="B25" s="43"/>
      <c r="C25" s="43"/>
      <c r="D25" s="43"/>
      <c r="E25" s="43"/>
      <c r="F25" s="43" t="s">
        <v>148</v>
      </c>
      <c r="G25" s="43"/>
      <c r="H25" s="43"/>
      <c r="I25" s="43"/>
      <c r="J25" s="43" t="s">
        <v>148</v>
      </c>
      <c r="K25" s="43"/>
      <c r="L25" s="42"/>
      <c r="M25" s="42"/>
      <c r="N25" s="43"/>
      <c r="O25" s="44"/>
      <c r="P25" s="43"/>
      <c r="Q25" s="44"/>
      <c r="R25" s="43" t="s">
        <v>149</v>
      </c>
      <c r="S25" s="44"/>
      <c r="T25" s="43" t="s">
        <v>149</v>
      </c>
      <c r="U25" s="44"/>
      <c r="V25" s="43"/>
      <c r="W25" s="44"/>
      <c r="X25" s="43"/>
      <c r="Y25" s="44"/>
      <c r="Z25" s="43"/>
      <c r="AA25" s="43"/>
    </row>
    <row r="26" spans="1:29" x14ac:dyDescent="0.25">
      <c r="A26" s="3" t="s">
        <v>41</v>
      </c>
      <c r="B26" s="43"/>
      <c r="C26" s="43"/>
      <c r="D26" s="43" t="s">
        <v>147</v>
      </c>
      <c r="E26" s="43"/>
      <c r="F26" s="43" t="s">
        <v>147</v>
      </c>
      <c r="G26" s="43" t="s">
        <v>147</v>
      </c>
      <c r="H26" s="43" t="s">
        <v>147</v>
      </c>
      <c r="I26" s="43" t="s">
        <v>147</v>
      </c>
      <c r="J26" s="43" t="s">
        <v>149</v>
      </c>
      <c r="K26" s="43" t="s">
        <v>148</v>
      </c>
      <c r="L26" s="42"/>
      <c r="M26" s="42"/>
      <c r="N26" s="43" t="s">
        <v>147</v>
      </c>
      <c r="O26" s="44" t="s">
        <v>148</v>
      </c>
      <c r="P26" s="43" t="s">
        <v>147</v>
      </c>
      <c r="Q26" s="44" t="s">
        <v>147</v>
      </c>
      <c r="R26" s="43" t="s">
        <v>147</v>
      </c>
      <c r="S26" s="44" t="s">
        <v>147</v>
      </c>
      <c r="T26" s="43" t="s">
        <v>148</v>
      </c>
      <c r="U26" s="44" t="s">
        <v>148</v>
      </c>
      <c r="V26" s="43" t="s">
        <v>148</v>
      </c>
      <c r="W26" s="44" t="s">
        <v>148</v>
      </c>
      <c r="X26" s="43"/>
      <c r="Y26" s="44"/>
      <c r="Z26" s="43" t="s">
        <v>147</v>
      </c>
      <c r="AA26" s="43" t="s">
        <v>147</v>
      </c>
      <c r="AB26" s="3" t="s">
        <v>147</v>
      </c>
    </row>
    <row r="27" spans="1:29" x14ac:dyDescent="0.25">
      <c r="A27" s="3" t="s">
        <v>42</v>
      </c>
      <c r="B27" s="43"/>
      <c r="C27" s="43"/>
      <c r="D27" s="43"/>
      <c r="E27" s="43" t="s">
        <v>147</v>
      </c>
      <c r="F27" s="43" t="s">
        <v>147</v>
      </c>
      <c r="G27" s="43" t="s">
        <v>148</v>
      </c>
      <c r="H27" s="43" t="s">
        <v>148</v>
      </c>
      <c r="I27" s="43" t="s">
        <v>148</v>
      </c>
      <c r="J27" s="43" t="s">
        <v>149</v>
      </c>
      <c r="K27" s="43" t="s">
        <v>149</v>
      </c>
      <c r="L27" s="42"/>
      <c r="M27" s="42"/>
      <c r="N27" s="43"/>
      <c r="O27" s="44" t="s">
        <v>148</v>
      </c>
      <c r="P27" s="43"/>
      <c r="Q27" s="44"/>
      <c r="R27" s="43" t="s">
        <v>149</v>
      </c>
      <c r="S27" s="44" t="s">
        <v>147</v>
      </c>
      <c r="T27" s="43" t="s">
        <v>149</v>
      </c>
      <c r="U27" s="44" t="s">
        <v>148</v>
      </c>
      <c r="V27" s="43"/>
      <c r="W27" s="44" t="s">
        <v>148</v>
      </c>
      <c r="X27" s="43"/>
      <c r="Y27" s="44"/>
      <c r="Z27" s="43"/>
      <c r="AA27" s="43"/>
      <c r="AC27" s="3" t="s">
        <v>148</v>
      </c>
    </row>
    <row r="28" spans="1:29" x14ac:dyDescent="0.25">
      <c r="A28" s="3" t="s">
        <v>93</v>
      </c>
      <c r="B28" s="43"/>
      <c r="C28" s="43"/>
      <c r="D28" s="43"/>
      <c r="E28" s="43" t="s">
        <v>147</v>
      </c>
      <c r="F28" s="43"/>
      <c r="G28" s="43" t="s">
        <v>148</v>
      </c>
      <c r="H28" s="43"/>
      <c r="I28" s="43" t="s">
        <v>147</v>
      </c>
      <c r="J28" s="43"/>
      <c r="K28" s="43"/>
      <c r="L28" s="42"/>
      <c r="M28" s="42"/>
      <c r="N28" s="43"/>
      <c r="O28" s="44"/>
      <c r="P28" s="43"/>
      <c r="Q28" s="44"/>
      <c r="R28" s="43"/>
      <c r="S28" s="44"/>
      <c r="T28" s="43" t="s">
        <v>148</v>
      </c>
      <c r="U28" s="44" t="s">
        <v>148</v>
      </c>
      <c r="V28" s="43"/>
      <c r="W28" s="44"/>
      <c r="X28" s="43"/>
      <c r="Y28" s="44" t="s">
        <v>147</v>
      </c>
      <c r="Z28" s="43" t="s">
        <v>148</v>
      </c>
      <c r="AA28" s="43" t="s">
        <v>148</v>
      </c>
    </row>
    <row r="29" spans="1:29" x14ac:dyDescent="0.25">
      <c r="A29" s="3" t="s">
        <v>44</v>
      </c>
      <c r="B29" s="43" t="s">
        <v>148</v>
      </c>
      <c r="C29" s="43" t="s">
        <v>148</v>
      </c>
      <c r="D29" s="43" t="s">
        <v>147</v>
      </c>
      <c r="E29" s="43" t="s">
        <v>147</v>
      </c>
      <c r="F29" s="43" t="s">
        <v>147</v>
      </c>
      <c r="G29" s="43" t="s">
        <v>147</v>
      </c>
      <c r="H29" s="43" t="s">
        <v>147</v>
      </c>
      <c r="I29" s="43" t="s">
        <v>147</v>
      </c>
      <c r="J29" s="43" t="s">
        <v>148</v>
      </c>
      <c r="K29" s="43" t="s">
        <v>148</v>
      </c>
      <c r="L29" s="42" t="s">
        <v>147</v>
      </c>
      <c r="M29" s="42"/>
      <c r="N29" s="43" t="s">
        <v>147</v>
      </c>
      <c r="O29" s="44" t="s">
        <v>147</v>
      </c>
      <c r="P29" s="43" t="s">
        <v>148</v>
      </c>
      <c r="Q29" s="44"/>
      <c r="R29" s="43" t="s">
        <v>147</v>
      </c>
      <c r="S29" s="44" t="s">
        <v>147</v>
      </c>
      <c r="T29" s="43" t="s">
        <v>148</v>
      </c>
      <c r="U29" s="44" t="s">
        <v>148</v>
      </c>
      <c r="V29" s="43" t="s">
        <v>147</v>
      </c>
      <c r="W29" s="44"/>
      <c r="X29" s="43"/>
      <c r="Y29" s="44"/>
      <c r="Z29" s="43" t="s">
        <v>147</v>
      </c>
      <c r="AA29" s="43"/>
      <c r="AB29" s="3" t="s">
        <v>147</v>
      </c>
    </row>
    <row r="30" spans="1:29" x14ac:dyDescent="0.25">
      <c r="A30" s="3" t="s">
        <v>80</v>
      </c>
      <c r="B30" s="43"/>
      <c r="C30" s="43"/>
      <c r="D30" s="43"/>
      <c r="E30" s="43" t="s">
        <v>147</v>
      </c>
      <c r="F30" s="43" t="s">
        <v>148</v>
      </c>
      <c r="G30" s="43" t="s">
        <v>148</v>
      </c>
      <c r="H30" s="43"/>
      <c r="I30" s="43"/>
      <c r="J30" s="43"/>
      <c r="K30" s="43"/>
      <c r="L30" s="42"/>
      <c r="M30" s="42"/>
      <c r="N30" s="43"/>
      <c r="O30" s="44"/>
      <c r="P30" s="43"/>
      <c r="Q30" s="44"/>
      <c r="R30" s="43"/>
      <c r="S30" s="44"/>
      <c r="T30" s="43" t="s">
        <v>147</v>
      </c>
      <c r="U30" s="44" t="s">
        <v>148</v>
      </c>
      <c r="V30" s="43"/>
      <c r="W30" s="44"/>
      <c r="X30" s="43"/>
      <c r="Y30" s="44"/>
      <c r="Z30" s="43" t="s">
        <v>149</v>
      </c>
      <c r="AA30" s="43" t="s">
        <v>148</v>
      </c>
    </row>
    <row r="31" spans="1:29" x14ac:dyDescent="0.25">
      <c r="A31" s="3" t="s">
        <v>81</v>
      </c>
      <c r="B31" s="43" t="s">
        <v>147</v>
      </c>
      <c r="C31" s="43" t="s">
        <v>147</v>
      </c>
      <c r="D31" s="43" t="s">
        <v>147</v>
      </c>
      <c r="E31" s="43" t="s">
        <v>147</v>
      </c>
      <c r="F31" s="43" t="s">
        <v>147</v>
      </c>
      <c r="G31" s="43" t="s">
        <v>147</v>
      </c>
      <c r="H31" s="43" t="s">
        <v>147</v>
      </c>
      <c r="I31" s="43" t="s">
        <v>147</v>
      </c>
      <c r="J31" s="43" t="s">
        <v>149</v>
      </c>
      <c r="K31" s="43"/>
      <c r="L31" s="42" t="s">
        <v>147</v>
      </c>
      <c r="M31" s="42"/>
      <c r="N31" s="43" t="s">
        <v>148</v>
      </c>
      <c r="O31" s="44" t="s">
        <v>148</v>
      </c>
      <c r="P31" s="43" t="s">
        <v>147</v>
      </c>
      <c r="Q31" s="44" t="s">
        <v>147</v>
      </c>
      <c r="R31" s="43" t="s">
        <v>148</v>
      </c>
      <c r="S31" s="44" t="s">
        <v>148</v>
      </c>
      <c r="T31" s="43" t="s">
        <v>149</v>
      </c>
      <c r="U31" s="44" t="s">
        <v>147</v>
      </c>
      <c r="V31" s="43" t="s">
        <v>148</v>
      </c>
      <c r="W31" s="44" t="s">
        <v>148</v>
      </c>
      <c r="X31" s="43"/>
      <c r="Y31" s="44" t="s">
        <v>148</v>
      </c>
      <c r="Z31" s="43" t="s">
        <v>148</v>
      </c>
      <c r="AA31" s="43"/>
      <c r="AB31" s="3" t="s">
        <v>148</v>
      </c>
    </row>
    <row r="32" spans="1:29" x14ac:dyDescent="0.25">
      <c r="A32" s="3" t="s">
        <v>82</v>
      </c>
      <c r="B32" s="43"/>
      <c r="C32" s="43"/>
      <c r="D32" s="43" t="s">
        <v>147</v>
      </c>
      <c r="E32" s="43" t="s">
        <v>147</v>
      </c>
      <c r="F32" s="43" t="s">
        <v>147</v>
      </c>
      <c r="G32" s="43" t="s">
        <v>147</v>
      </c>
      <c r="H32" s="43" t="s">
        <v>147</v>
      </c>
      <c r="I32" s="43"/>
      <c r="J32" s="43" t="s">
        <v>148</v>
      </c>
      <c r="K32" s="43"/>
      <c r="L32" s="42"/>
      <c r="M32" s="42"/>
      <c r="N32" s="43" t="s">
        <v>147</v>
      </c>
      <c r="O32" s="44" t="s">
        <v>147</v>
      </c>
      <c r="P32" s="43"/>
      <c r="Q32" s="44"/>
      <c r="R32" s="43"/>
      <c r="S32" s="44"/>
      <c r="T32" s="43" t="s">
        <v>147</v>
      </c>
      <c r="U32" s="44"/>
      <c r="V32" s="43" t="s">
        <v>147</v>
      </c>
      <c r="W32" s="44" t="s">
        <v>147</v>
      </c>
      <c r="X32" s="43"/>
      <c r="Y32" s="44"/>
      <c r="Z32" s="43" t="s">
        <v>149</v>
      </c>
      <c r="AA32" s="43"/>
      <c r="AB32" s="3" t="s">
        <v>147</v>
      </c>
    </row>
    <row r="33" spans="2:35" x14ac:dyDescent="0.2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row>
    <row r="34" spans="2:35" x14ac:dyDescent="0.2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row>
    <row r="35" spans="2:35"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row>
    <row r="36" spans="2:35" x14ac:dyDescent="0.25">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2:35" x14ac:dyDescent="0.25">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spans="2:35" x14ac:dyDescent="0.25">
      <c r="B38" s="42"/>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1"/>
      <c r="AC38" s="41"/>
      <c r="AD38" s="41"/>
      <c r="AE38" s="41"/>
      <c r="AF38" s="41"/>
      <c r="AG38" s="41"/>
      <c r="AH38" s="41"/>
      <c r="AI38" s="41"/>
    </row>
    <row r="39" spans="2:35" x14ac:dyDescent="0.25">
      <c r="B39" s="42"/>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spans="2:35"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2:35"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spans="2:35"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spans="2:35"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sheetData>
  <sheetProtection password="C2EC" sheet="1" objects="1" scenarios="1" selectLockedCells="1" selectUnlockedCells="1"/>
  <mergeCells count="14">
    <mergeCell ref="AB1:AC1"/>
    <mergeCell ref="V1:W1"/>
    <mergeCell ref="X1:Y1"/>
    <mergeCell ref="Z1:AA1"/>
    <mergeCell ref="N1:O1"/>
    <mergeCell ref="P1:Q1"/>
    <mergeCell ref="R1:S1"/>
    <mergeCell ref="T1:U1"/>
    <mergeCell ref="L1:M1"/>
    <mergeCell ref="B1:C1"/>
    <mergeCell ref="D1:E1"/>
    <mergeCell ref="F1:G1"/>
    <mergeCell ref="H1:I1"/>
    <mergeCell ref="J1:K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2" tint="-0.89999084444715716"/>
  </sheetPr>
  <dimension ref="A1:E32"/>
  <sheetViews>
    <sheetView workbookViewId="0">
      <selection sqref="A1:E32"/>
    </sheetView>
  </sheetViews>
  <sheetFormatPr defaultRowHeight="15" x14ac:dyDescent="0.25"/>
  <cols>
    <col min="1" max="1" width="29" bestFit="1" customWidth="1"/>
    <col min="2" max="2" width="20.42578125" bestFit="1" customWidth="1"/>
    <col min="3" max="3" width="22.85546875" style="1" bestFit="1" customWidth="1"/>
    <col min="4" max="4" width="23.5703125" bestFit="1" customWidth="1"/>
    <col min="5" max="5" width="18.28515625" bestFit="1" customWidth="1"/>
  </cols>
  <sheetData>
    <row r="1" spans="1:5" x14ac:dyDescent="0.25">
      <c r="A1" t="s">
        <v>48</v>
      </c>
      <c r="B1" t="s">
        <v>70</v>
      </c>
    </row>
    <row r="2" spans="1:5" x14ac:dyDescent="0.25">
      <c r="C2" s="1" t="s">
        <v>73</v>
      </c>
      <c r="D2" t="s">
        <v>72</v>
      </c>
      <c r="E2" t="s">
        <v>71</v>
      </c>
    </row>
    <row r="3" spans="1:5" x14ac:dyDescent="0.25">
      <c r="A3" t="s">
        <v>18</v>
      </c>
      <c r="B3" s="2">
        <v>37.548168745985144</v>
      </c>
      <c r="C3" s="1">
        <v>20</v>
      </c>
      <c r="D3">
        <v>60.160734680164097</v>
      </c>
      <c r="E3">
        <v>75.200918350205114</v>
      </c>
    </row>
    <row r="4" spans="1:5" x14ac:dyDescent="0.25">
      <c r="A4" t="s">
        <v>19</v>
      </c>
      <c r="B4" s="2">
        <v>32.489917379875038</v>
      </c>
      <c r="C4" s="1">
        <v>20</v>
      </c>
      <c r="D4">
        <v>25.263487818932795</v>
      </c>
      <c r="E4">
        <v>31.579359773665992</v>
      </c>
    </row>
    <row r="5" spans="1:5" x14ac:dyDescent="0.25">
      <c r="A5" t="s">
        <v>20</v>
      </c>
      <c r="B5" s="2">
        <v>33.866291845135898</v>
      </c>
      <c r="C5" s="1">
        <v>20</v>
      </c>
      <c r="D5">
        <v>66.114526790114283</v>
      </c>
      <c r="E5">
        <v>82.64315848764285</v>
      </c>
    </row>
    <row r="6" spans="1:5" x14ac:dyDescent="0.25">
      <c r="A6" t="s">
        <v>21</v>
      </c>
      <c r="B6" s="2">
        <v>43.482259630329871</v>
      </c>
      <c r="C6" s="1">
        <v>20</v>
      </c>
      <c r="D6">
        <v>49.950460888986299</v>
      </c>
      <c r="E6">
        <v>62.438076111232874</v>
      </c>
    </row>
    <row r="7" spans="1:5" x14ac:dyDescent="0.25">
      <c r="A7" t="s">
        <v>22</v>
      </c>
      <c r="B7" s="2">
        <v>16.435578043561748</v>
      </c>
      <c r="C7" s="1">
        <v>20</v>
      </c>
      <c r="D7">
        <v>67.987217440620356</v>
      </c>
      <c r="E7">
        <v>84.984021800775452</v>
      </c>
    </row>
    <row r="8" spans="1:5" x14ac:dyDescent="0.25">
      <c r="A8" t="s">
        <v>23</v>
      </c>
      <c r="B8" s="2">
        <v>37.036593946448811</v>
      </c>
      <c r="C8" s="1">
        <v>20</v>
      </c>
      <c r="D8">
        <v>54.888883699856528</v>
      </c>
      <c r="E8">
        <v>68.611104624820655</v>
      </c>
    </row>
    <row r="9" spans="1:5" x14ac:dyDescent="0.25">
      <c r="A9" t="s">
        <v>24</v>
      </c>
      <c r="B9" s="2">
        <v>23.288418920447924</v>
      </c>
      <c r="C9" s="1">
        <v>20</v>
      </c>
      <c r="D9">
        <v>70.345289009035042</v>
      </c>
      <c r="E9">
        <v>87.931611261293796</v>
      </c>
    </row>
    <row r="10" spans="1:5" x14ac:dyDescent="0.25">
      <c r="A10" t="s">
        <v>25</v>
      </c>
      <c r="B10" s="2">
        <v>33.073818628544494</v>
      </c>
      <c r="C10" s="1">
        <v>20</v>
      </c>
      <c r="D10">
        <v>76.674261704157914</v>
      </c>
      <c r="E10">
        <v>95.842827130197392</v>
      </c>
    </row>
    <row r="11" spans="1:5" x14ac:dyDescent="0.25">
      <c r="A11" t="s">
        <v>26</v>
      </c>
      <c r="B11" s="2">
        <v>29.869479602384459</v>
      </c>
      <c r="C11" s="1">
        <v>20</v>
      </c>
      <c r="D11">
        <v>64.46048827892497</v>
      </c>
      <c r="E11">
        <v>80.575610348656213</v>
      </c>
    </row>
    <row r="12" spans="1:5" x14ac:dyDescent="0.25">
      <c r="A12" t="s">
        <v>27</v>
      </c>
      <c r="B12" s="2">
        <v>15.18777849409498</v>
      </c>
      <c r="C12" s="1">
        <v>60</v>
      </c>
      <c r="D12">
        <v>71.086590140481633</v>
      </c>
      <c r="E12">
        <v>88.858237675602041</v>
      </c>
    </row>
    <row r="13" spans="1:5" x14ac:dyDescent="0.25">
      <c r="A13" t="s">
        <v>28</v>
      </c>
      <c r="B13" s="2">
        <v>18.638553239503384</v>
      </c>
      <c r="C13" s="1">
        <v>20</v>
      </c>
      <c r="D13">
        <v>48.604917312666302</v>
      </c>
      <c r="E13">
        <v>60.756146640832881</v>
      </c>
    </row>
    <row r="14" spans="1:5" x14ac:dyDescent="0.25">
      <c r="A14" t="s">
        <v>29</v>
      </c>
      <c r="B14" s="2">
        <v>26.9448444857093</v>
      </c>
      <c r="C14" s="1">
        <v>20</v>
      </c>
      <c r="D14">
        <v>70.920031321303568</v>
      </c>
      <c r="E14">
        <v>88.650039151629457</v>
      </c>
    </row>
    <row r="15" spans="1:5" x14ac:dyDescent="0.25">
      <c r="A15" t="s">
        <v>30</v>
      </c>
      <c r="B15" s="2">
        <v>23.697266350073978</v>
      </c>
      <c r="C15" s="1">
        <v>20</v>
      </c>
      <c r="D15">
        <v>65.439200624049732</v>
      </c>
      <c r="E15">
        <v>81.799000780062158</v>
      </c>
    </row>
    <row r="16" spans="1:5" x14ac:dyDescent="0.25">
      <c r="A16" t="s">
        <v>31</v>
      </c>
      <c r="B16" s="2">
        <v>33.945558739769993</v>
      </c>
      <c r="C16" s="1">
        <v>20</v>
      </c>
      <c r="D16">
        <v>16.995351416408958</v>
      </c>
      <c r="E16">
        <v>21.2441892705112</v>
      </c>
    </row>
    <row r="17" spans="1:5" x14ac:dyDescent="0.25">
      <c r="A17" t="s">
        <v>32</v>
      </c>
      <c r="B17" s="2">
        <v>20.522404994048429</v>
      </c>
      <c r="C17" s="1">
        <v>20</v>
      </c>
      <c r="D17">
        <v>75.582841351707884</v>
      </c>
      <c r="E17">
        <v>94.478551689634855</v>
      </c>
    </row>
    <row r="18" spans="1:5" x14ac:dyDescent="0.25">
      <c r="A18" t="s">
        <v>33</v>
      </c>
      <c r="B18" s="2">
        <v>33.45837256059437</v>
      </c>
      <c r="C18" s="1">
        <v>20</v>
      </c>
      <c r="D18">
        <v>71.866206248154541</v>
      </c>
      <c r="E18">
        <v>89.832757810193172</v>
      </c>
    </row>
    <row r="19" spans="1:5" x14ac:dyDescent="0.25">
      <c r="A19" t="s">
        <v>34</v>
      </c>
      <c r="B19" s="2">
        <v>32.178613130221855</v>
      </c>
      <c r="C19" s="1">
        <v>20</v>
      </c>
      <c r="D19">
        <v>66.637435847889833</v>
      </c>
      <c r="E19">
        <v>83.296794809862291</v>
      </c>
    </row>
    <row r="20" spans="1:5" x14ac:dyDescent="0.25">
      <c r="A20" t="s">
        <v>35</v>
      </c>
      <c r="B20" s="2">
        <v>29.200872625130224</v>
      </c>
      <c r="C20" s="1">
        <v>20</v>
      </c>
      <c r="D20">
        <v>43.454206781649845</v>
      </c>
      <c r="E20">
        <v>54.317758477062306</v>
      </c>
    </row>
    <row r="21" spans="1:5" x14ac:dyDescent="0.25">
      <c r="A21" t="s">
        <v>36</v>
      </c>
      <c r="B21" s="2">
        <v>32.619374177347623</v>
      </c>
      <c r="C21" s="1">
        <v>20</v>
      </c>
      <c r="D21">
        <v>55.449118241636718</v>
      </c>
      <c r="E21">
        <v>69.311397802045903</v>
      </c>
    </row>
    <row r="22" spans="1:5" x14ac:dyDescent="0.25">
      <c r="A22" t="s">
        <v>37</v>
      </c>
      <c r="B22" s="2">
        <v>32.008945744801103</v>
      </c>
      <c r="C22" s="1">
        <v>20</v>
      </c>
      <c r="D22">
        <v>59.863801437830993</v>
      </c>
      <c r="E22">
        <v>74.829751797288736</v>
      </c>
    </row>
    <row r="23" spans="1:5" x14ac:dyDescent="0.25">
      <c r="A23" t="s">
        <v>38</v>
      </c>
      <c r="B23" s="2">
        <v>35.542744246364407</v>
      </c>
      <c r="C23" s="1">
        <v>20</v>
      </c>
      <c r="D23">
        <v>57.242839799225592</v>
      </c>
      <c r="E23">
        <v>71.553549749031987</v>
      </c>
    </row>
    <row r="24" spans="1:5" x14ac:dyDescent="0.25">
      <c r="A24" t="s">
        <v>39</v>
      </c>
      <c r="B24" s="2">
        <v>36.289125055097138</v>
      </c>
      <c r="C24" s="1">
        <v>20</v>
      </c>
      <c r="D24">
        <v>52.862256410125298</v>
      </c>
      <c r="E24">
        <v>66.077820512656615</v>
      </c>
    </row>
    <row r="25" spans="1:5" x14ac:dyDescent="0.25">
      <c r="A25" t="s">
        <v>40</v>
      </c>
      <c r="B25" s="2">
        <v>32.863598657297686</v>
      </c>
      <c r="C25" s="1">
        <v>20</v>
      </c>
      <c r="D25">
        <v>64.903295181959308</v>
      </c>
      <c r="E25">
        <v>81.129118977449139</v>
      </c>
    </row>
    <row r="26" spans="1:5" x14ac:dyDescent="0.25">
      <c r="A26" t="s">
        <v>41</v>
      </c>
      <c r="B26" s="2">
        <v>28.543658813407408</v>
      </c>
      <c r="C26" s="1">
        <v>20</v>
      </c>
      <c r="D26">
        <v>80.430523182657808</v>
      </c>
      <c r="E26">
        <v>100.53815397832226</v>
      </c>
    </row>
    <row r="27" spans="1:5" x14ac:dyDescent="0.25">
      <c r="A27" t="s">
        <v>42</v>
      </c>
      <c r="B27" s="2">
        <v>18.824660793730857</v>
      </c>
      <c r="C27" s="1">
        <v>20</v>
      </c>
      <c r="D27">
        <v>65.084864936234851</v>
      </c>
      <c r="E27">
        <v>81.356081170293564</v>
      </c>
    </row>
    <row r="28" spans="1:5" x14ac:dyDescent="0.25">
      <c r="A28" t="s">
        <v>43</v>
      </c>
      <c r="B28" s="2">
        <v>20.35298257628682</v>
      </c>
      <c r="C28" s="1">
        <v>20</v>
      </c>
      <c r="D28">
        <v>83.258184841461798</v>
      </c>
      <c r="E28">
        <v>104.07273105182725</v>
      </c>
    </row>
    <row r="29" spans="1:5" x14ac:dyDescent="0.25">
      <c r="A29" t="s">
        <v>44</v>
      </c>
      <c r="B29" s="2">
        <v>28.813635520596907</v>
      </c>
      <c r="C29" s="1">
        <v>20</v>
      </c>
      <c r="D29">
        <v>69.444585005612524</v>
      </c>
      <c r="E29">
        <v>86.805731257015651</v>
      </c>
    </row>
    <row r="30" spans="1:5" x14ac:dyDescent="0.25">
      <c r="A30" t="s">
        <v>45</v>
      </c>
      <c r="B30" s="2">
        <v>18.242554052203719</v>
      </c>
      <c r="C30" s="1">
        <v>20</v>
      </c>
      <c r="D30">
        <v>69.054285407797181</v>
      </c>
      <c r="E30">
        <v>86.317856759746476</v>
      </c>
    </row>
    <row r="31" spans="1:5" x14ac:dyDescent="0.25">
      <c r="A31" t="s">
        <v>46</v>
      </c>
      <c r="B31" s="2">
        <v>36.485200618852097</v>
      </c>
      <c r="C31" s="1">
        <v>20</v>
      </c>
      <c r="D31">
        <v>71.338409804179776</v>
      </c>
      <c r="E31">
        <v>89.17301225522472</v>
      </c>
    </row>
    <row r="32" spans="1:5" x14ac:dyDescent="0.25">
      <c r="A32" t="s">
        <v>47</v>
      </c>
      <c r="B32" s="2">
        <v>31.20078140780679</v>
      </c>
      <c r="C32" s="1">
        <v>20</v>
      </c>
      <c r="D32">
        <v>72.943326453438388</v>
      </c>
      <c r="E32">
        <v>91.179158066797982</v>
      </c>
    </row>
  </sheetData>
  <sheetProtection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G41"/>
  <sheetViews>
    <sheetView tabSelected="1" zoomScaleNormal="100" workbookViewId="0">
      <selection activeCell="B5" sqref="B5"/>
    </sheetView>
  </sheetViews>
  <sheetFormatPr defaultRowHeight="15" x14ac:dyDescent="0.25"/>
  <cols>
    <col min="1" max="1" width="69.7109375" bestFit="1" customWidth="1"/>
    <col min="2" max="2" width="50.5703125" bestFit="1" customWidth="1"/>
    <col min="3" max="3" width="68" bestFit="1" customWidth="1"/>
    <col min="4" max="4" width="12.140625" style="56" customWidth="1"/>
    <col min="5" max="5" width="83.5703125" bestFit="1" customWidth="1"/>
    <col min="6" max="6" width="22.85546875" bestFit="1" customWidth="1"/>
    <col min="7" max="7" width="19.42578125" bestFit="1" customWidth="1"/>
    <col min="8" max="8" width="21.42578125" bestFit="1" customWidth="1"/>
    <col min="9" max="9" width="25.85546875" bestFit="1" customWidth="1"/>
    <col min="10" max="10" width="31.7109375" bestFit="1" customWidth="1"/>
    <col min="11" max="11" width="24.140625" bestFit="1" customWidth="1"/>
  </cols>
  <sheetData>
    <row r="1" spans="1:4" s="56" customFormat="1" ht="21.75" thickBot="1" x14ac:dyDescent="0.4">
      <c r="A1" s="163" t="s">
        <v>348</v>
      </c>
      <c r="B1" s="164"/>
    </row>
    <row r="2" spans="1:4" s="56" customFormat="1" ht="163.5" customHeight="1" thickBot="1" x14ac:dyDescent="0.3">
      <c r="A2" s="161" t="s">
        <v>399</v>
      </c>
      <c r="B2" s="162"/>
    </row>
    <row r="3" spans="1:4" s="56" customFormat="1" ht="15.75" thickBot="1" x14ac:dyDescent="0.3"/>
    <row r="4" spans="1:4" s="56" customFormat="1" ht="19.5" thickBot="1" x14ac:dyDescent="0.35">
      <c r="A4" s="159" t="s">
        <v>333</v>
      </c>
      <c r="B4" s="160"/>
    </row>
    <row r="5" spans="1:4" ht="16.5" thickBot="1" x14ac:dyDescent="0.3">
      <c r="A5" s="77" t="s">
        <v>48</v>
      </c>
      <c r="B5" s="95" t="s">
        <v>87</v>
      </c>
    </row>
    <row r="6" spans="1:4" ht="16.5" thickBot="1" x14ac:dyDescent="0.3">
      <c r="A6" s="78" t="s">
        <v>182</v>
      </c>
      <c r="B6" s="96" t="s">
        <v>0</v>
      </c>
    </row>
    <row r="7" spans="1:4" s="56" customFormat="1" ht="16.5" thickBot="1" x14ac:dyDescent="0.3">
      <c r="A7" s="78" t="s">
        <v>288</v>
      </c>
      <c r="B7" s="97" t="s">
        <v>228</v>
      </c>
    </row>
    <row r="8" spans="1:4" s="56" customFormat="1" ht="19.5" thickBot="1" x14ac:dyDescent="0.35">
      <c r="A8" s="79" t="s">
        <v>189</v>
      </c>
      <c r="B8" s="76">
        <f>IF(B7="Yes", INDEX('Berm Reductions'!D4:F33, MATCH('(STEP 1) Baseline Conditions'!B5,'Berm Reductions'!A4:A33,0), MATCH('(STEP 1) Baseline Conditions'!B6,'Berm Reductions'!D3:F3,0)), INDEX('Buffer Reductions'!B4:D33, MATCH('(STEP 1) Baseline Conditions'!B5,'Buffer Reductions'!A4:A33,0), MATCH('(STEP 1) Baseline Conditions'!B6,'Buffer Reductions'!B3:D3,0)))</f>
        <v>2.08</v>
      </c>
    </row>
    <row r="9" spans="1:4" s="56" customFormat="1" ht="19.5" thickBot="1" x14ac:dyDescent="0.35">
      <c r="A9" s="79" t="s">
        <v>190</v>
      </c>
      <c r="B9" s="76">
        <f>IF(B7="YES",INDEX('Berm Reductions'!G4:I33,MATCH(B5,'Berm Reductions'!A4:A33,0),MATCH('(STEP 1) Baseline Conditions'!B6,'Berm Reductions'!G3:I3,0)),INDEX('Buffer Reductions'!E4:G33,MATCH(B5,'Buffer Reductions'!A4:A33,0),MATCH('(STEP 1) Baseline Conditions'!B6,'Buffer Reductions'!E3:G3,0)))</f>
        <v>0.45099999999999996</v>
      </c>
    </row>
    <row r="10" spans="1:4" s="56" customFormat="1" ht="18.75" x14ac:dyDescent="0.3">
      <c r="D10" s="51"/>
    </row>
    <row r="11" spans="1:4" ht="15.75" thickBot="1" x14ac:dyDescent="0.3">
      <c r="A11" s="56"/>
      <c r="B11" s="56"/>
    </row>
    <row r="12" spans="1:4" ht="19.5" thickBot="1" x14ac:dyDescent="0.35">
      <c r="A12" s="159" t="s">
        <v>334</v>
      </c>
      <c r="B12" s="160"/>
    </row>
    <row r="13" spans="1:4" s="56" customFormat="1" ht="16.5" thickBot="1" x14ac:dyDescent="0.3">
      <c r="A13" s="77" t="s">
        <v>269</v>
      </c>
      <c r="B13" s="95" t="s">
        <v>272</v>
      </c>
    </row>
    <row r="14" spans="1:4" ht="16.5" thickBot="1" x14ac:dyDescent="0.3">
      <c r="A14" s="78" t="s">
        <v>230</v>
      </c>
      <c r="B14" s="97" t="s">
        <v>237</v>
      </c>
    </row>
    <row r="15" spans="1:4" ht="16.5" thickBot="1" x14ac:dyDescent="0.3">
      <c r="A15" s="78" t="s">
        <v>229</v>
      </c>
      <c r="B15" s="96" t="s">
        <v>396</v>
      </c>
    </row>
    <row r="16" spans="1:4" ht="19.5" thickBot="1" x14ac:dyDescent="0.35">
      <c r="A16" s="79" t="s">
        <v>349</v>
      </c>
      <c r="B16" s="76">
        <f>IF(B13="16.5' (Public Ditch)", B8*(('Dosskey Coefficients'!F12)/100), '(STEP 1) Baseline Conditions'!B8*(('Dosskey Coefficients'!F13)/100))</f>
        <v>2.08</v>
      </c>
    </row>
    <row r="17" spans="1:7" ht="19.5" thickBot="1" x14ac:dyDescent="0.35">
      <c r="A17" s="79" t="s">
        <v>350</v>
      </c>
      <c r="B17" s="76">
        <f>IF(B13="16.5' (Public Ditch)",B9*(('Dosskey Coefficients'!I12)/100), B9*(('Dosskey Coefficients'!I13)/100))</f>
        <v>0.43379578914861372</v>
      </c>
    </row>
    <row r="19" spans="1:7" ht="15.75" thickBot="1" x14ac:dyDescent="0.3"/>
    <row r="20" spans="1:7" ht="19.5" thickBot="1" x14ac:dyDescent="0.35">
      <c r="A20" s="165" t="s">
        <v>353</v>
      </c>
      <c r="B20" s="166"/>
    </row>
    <row r="21" spans="1:7" s="56" customFormat="1" x14ac:dyDescent="0.25"/>
    <row r="22" spans="1:7" x14ac:dyDescent="0.25">
      <c r="G22" s="67" t="b">
        <v>0</v>
      </c>
    </row>
    <row r="23" spans="1:7" x14ac:dyDescent="0.25">
      <c r="G23" s="67" t="b">
        <v>0</v>
      </c>
    </row>
    <row r="24" spans="1:7" x14ac:dyDescent="0.25">
      <c r="G24" s="67" t="b">
        <v>0</v>
      </c>
    </row>
    <row r="25" spans="1:7" x14ac:dyDescent="0.25">
      <c r="G25" s="67" t="b">
        <v>0</v>
      </c>
    </row>
    <row r="26" spans="1:7" x14ac:dyDescent="0.25">
      <c r="G26" s="67" t="b">
        <v>0</v>
      </c>
    </row>
    <row r="27" spans="1:7" s="56" customFormat="1" x14ac:dyDescent="0.25">
      <c r="G27" s="67" t="b">
        <v>0</v>
      </c>
    </row>
    <row r="28" spans="1:7" x14ac:dyDescent="0.25">
      <c r="G28" s="67" t="b">
        <v>0</v>
      </c>
    </row>
    <row r="29" spans="1:7" x14ac:dyDescent="0.25">
      <c r="G29" s="67" t="b">
        <v>0</v>
      </c>
    </row>
    <row r="30" spans="1:7" x14ac:dyDescent="0.25">
      <c r="G30" s="67" t="b">
        <v>0</v>
      </c>
    </row>
    <row r="31" spans="1:7" x14ac:dyDescent="0.25">
      <c r="G31" s="67" t="b">
        <v>0</v>
      </c>
    </row>
    <row r="32" spans="1:7" x14ac:dyDescent="0.25">
      <c r="G32" s="67" t="b">
        <v>0</v>
      </c>
    </row>
    <row r="33" spans="3:7" s="56" customFormat="1" x14ac:dyDescent="0.25">
      <c r="G33" s="67" t="b">
        <v>0</v>
      </c>
    </row>
    <row r="34" spans="3:7" s="56" customFormat="1" x14ac:dyDescent="0.25">
      <c r="F34"/>
      <c r="G34" s="67" t="b">
        <v>0</v>
      </c>
    </row>
    <row r="35" spans="3:7" s="56" customFormat="1" x14ac:dyDescent="0.25">
      <c r="G35" s="67" t="b">
        <v>0</v>
      </c>
    </row>
    <row r="41" spans="3:7" x14ac:dyDescent="0.25">
      <c r="C41" s="68"/>
      <c r="D41" s="68"/>
    </row>
  </sheetData>
  <sheetProtection password="C2EC" sheet="1" objects="1" scenarios="1" selectLockedCells="1"/>
  <mergeCells count="5">
    <mergeCell ref="A4:B4"/>
    <mergeCell ref="A12:B12"/>
    <mergeCell ref="A2:B2"/>
    <mergeCell ref="A1:B1"/>
    <mergeCell ref="A20:B20"/>
  </mergeCell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6">
        <x14:dataValidation type="list" allowBlank="1" showInputMessage="1" showErrorMessage="1" promptTitle="Agroecoregion" xr:uid="{00000000-0002-0000-0100-000000000000}">
          <x14:formula1>
            <xm:f>'270 Baseline RESULTS'!$A$4:$A$33</xm:f>
          </x14:formula1>
          <xm:sqref>B5</xm:sqref>
        </x14:dataValidation>
        <x14:dataValidation type="list" allowBlank="1" showInputMessage="1" showErrorMessage="1" xr:uid="{00000000-0002-0000-0100-000001000000}">
          <x14:formula1>
            <xm:f>'Mgmt condition'!$B$1:$D$1</xm:f>
          </x14:formula1>
          <xm:sqref>B6</xm:sqref>
        </x14:dataValidation>
        <x14:dataValidation type="list" allowBlank="1" showInputMessage="1" showErrorMessage="1" xr:uid="{00000000-0002-0000-0100-000002000000}">
          <x14:formula1>
            <xm:f>'Mgmt condition'!$G$2:$G$3</xm:f>
          </x14:formula1>
          <xm:sqref>B7</xm:sqref>
        </x14:dataValidation>
        <x14:dataValidation type="list" allowBlank="1" showInputMessage="1" showErrorMessage="1" xr:uid="{00000000-0002-0000-0100-000003000000}">
          <x14:formula1>
            <xm:f>'Dosskey Coefficients'!$K$2:$K$20</xm:f>
          </x14:formula1>
          <xm:sqref>B14</xm:sqref>
        </x14:dataValidation>
        <x14:dataValidation type="list" allowBlank="1" showInputMessage="1" showErrorMessage="1" xr:uid="{00000000-0002-0000-0100-000004000000}">
          <x14:formula1>
            <xm:f>'Dosskey Coefficients'!$O$2:$O$4</xm:f>
          </x14:formula1>
          <xm:sqref>B15</xm:sqref>
        </x14:dataValidation>
        <x14:dataValidation type="list" allowBlank="1" showInputMessage="1" showErrorMessage="1" xr:uid="{00000000-0002-0000-0100-000005000000}">
          <x14:formula1>
            <xm:f>'Dosskey Coefficients'!$R$2:$R$3</xm:f>
          </x14:formula1>
          <xm:sqref>B13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2" tint="-0.89999084444715716"/>
  </sheetPr>
  <dimension ref="A1:K540"/>
  <sheetViews>
    <sheetView workbookViewId="0">
      <selection activeCell="Z41" sqref="Z41"/>
    </sheetView>
  </sheetViews>
  <sheetFormatPr defaultRowHeight="15" customHeight="1" x14ac:dyDescent="0.25"/>
  <cols>
    <col min="1" max="1" width="9.42578125" bestFit="1" customWidth="1"/>
    <col min="2" max="2" width="7.28515625" bestFit="1" customWidth="1"/>
    <col min="3" max="3" width="27.42578125" bestFit="1" customWidth="1"/>
    <col min="4" max="4" width="18.5703125" bestFit="1" customWidth="1"/>
    <col min="5" max="5" width="26.5703125" bestFit="1" customWidth="1"/>
    <col min="8" max="8" width="17.85546875" bestFit="1" customWidth="1"/>
    <col min="9" max="9" width="17.7109375" bestFit="1" customWidth="1"/>
    <col min="10" max="10" width="14.140625" bestFit="1" customWidth="1"/>
    <col min="11" max="11" width="9.42578125" bestFit="1" customWidth="1"/>
  </cols>
  <sheetData>
    <row r="1" spans="1:11" ht="15" customHeight="1" x14ac:dyDescent="0.25">
      <c r="A1" t="s">
        <v>83</v>
      </c>
      <c r="B1" t="s">
        <v>84</v>
      </c>
      <c r="C1" t="s">
        <v>48</v>
      </c>
      <c r="D1" t="s">
        <v>85</v>
      </c>
      <c r="E1" t="s">
        <v>86</v>
      </c>
      <c r="H1" t="s">
        <v>96</v>
      </c>
      <c r="I1" t="s">
        <v>94</v>
      </c>
      <c r="J1" t="s">
        <v>95</v>
      </c>
      <c r="K1" t="s">
        <v>100</v>
      </c>
    </row>
    <row r="2" spans="1:11" ht="15" customHeight="1" x14ac:dyDescent="0.25">
      <c r="A2">
        <v>2017</v>
      </c>
      <c r="B2">
        <v>73</v>
      </c>
      <c r="C2" t="s">
        <v>87</v>
      </c>
      <c r="D2" t="s">
        <v>292</v>
      </c>
      <c r="E2" s="6">
        <f ca="1">K2</f>
        <v>75.200918350205114</v>
      </c>
      <c r="G2" s="4" t="s">
        <v>101</v>
      </c>
      <c r="H2" s="5" t="s">
        <v>102</v>
      </c>
      <c r="I2" t="s">
        <v>97</v>
      </c>
      <c r="J2">
        <v>3</v>
      </c>
      <c r="K2" s="6">
        <f ca="1">INDIRECT(CONCATENATE("'P Fertilizer Rate'!",I2,J2))</f>
        <v>75.200918350205114</v>
      </c>
    </row>
    <row r="3" spans="1:11" ht="15" customHeight="1" x14ac:dyDescent="0.25">
      <c r="K3" s="6" t="e">
        <f t="shared" ref="K3:K18" ca="1" si="0">INDIRECT(CONCATENATE("'P Fertilizer Rate'!",I3,J3))</f>
        <v>#REF!</v>
      </c>
    </row>
    <row r="4" spans="1:11" ht="15" customHeight="1" x14ac:dyDescent="0.25">
      <c r="A4">
        <v>2017</v>
      </c>
      <c r="B4">
        <v>73</v>
      </c>
      <c r="C4" t="s">
        <v>87</v>
      </c>
      <c r="D4" t="s">
        <v>293</v>
      </c>
      <c r="E4" s="6">
        <f ca="1">K4</f>
        <v>75.200918350205114</v>
      </c>
      <c r="G4" s="4" t="s">
        <v>101</v>
      </c>
      <c r="H4" s="4"/>
      <c r="I4" t="s">
        <v>97</v>
      </c>
      <c r="J4">
        <v>3</v>
      </c>
      <c r="K4" s="6">
        <f t="shared" ca="1" si="0"/>
        <v>75.200918350205114</v>
      </c>
    </row>
    <row r="5" spans="1:11" ht="15" customHeight="1" x14ac:dyDescent="0.25">
      <c r="K5" s="6" t="e">
        <f t="shared" ca="1" si="0"/>
        <v>#REF!</v>
      </c>
    </row>
    <row r="6" spans="1:11" ht="15" customHeight="1" x14ac:dyDescent="0.25">
      <c r="A6">
        <v>2017</v>
      </c>
      <c r="B6">
        <v>73</v>
      </c>
      <c r="C6" t="s">
        <v>87</v>
      </c>
      <c r="D6" t="s">
        <v>294</v>
      </c>
      <c r="E6" s="6">
        <f ca="1">K6</f>
        <v>75.200918350205114</v>
      </c>
      <c r="H6" s="4"/>
      <c r="I6" t="s">
        <v>97</v>
      </c>
      <c r="J6">
        <v>3</v>
      </c>
      <c r="K6" s="6">
        <f t="shared" ca="1" si="0"/>
        <v>75.200918350205114</v>
      </c>
    </row>
    <row r="7" spans="1:11" ht="15" customHeight="1" x14ac:dyDescent="0.25">
      <c r="K7" s="6" t="e">
        <f t="shared" ca="1" si="0"/>
        <v>#REF!</v>
      </c>
    </row>
    <row r="8" spans="1:11" ht="15" customHeight="1" x14ac:dyDescent="0.25">
      <c r="A8">
        <v>2017</v>
      </c>
      <c r="B8">
        <v>73</v>
      </c>
      <c r="C8" t="s">
        <v>87</v>
      </c>
      <c r="D8" t="s">
        <v>74</v>
      </c>
      <c r="E8" s="6">
        <f ca="1">K8</f>
        <v>60.160734680164097</v>
      </c>
      <c r="H8" s="4"/>
      <c r="I8" t="s">
        <v>98</v>
      </c>
      <c r="J8">
        <v>3</v>
      </c>
      <c r="K8" s="6">
        <f t="shared" ca="1" si="0"/>
        <v>60.160734680164097</v>
      </c>
    </row>
    <row r="9" spans="1:11" ht="15" customHeight="1" x14ac:dyDescent="0.25">
      <c r="K9" s="6" t="e">
        <f t="shared" ca="1" si="0"/>
        <v>#REF!</v>
      </c>
    </row>
    <row r="10" spans="1:11" ht="15" customHeight="1" x14ac:dyDescent="0.25">
      <c r="A10">
        <v>2017</v>
      </c>
      <c r="B10">
        <v>73</v>
      </c>
      <c r="C10" t="s">
        <v>87</v>
      </c>
      <c r="D10" t="s">
        <v>75</v>
      </c>
      <c r="E10" s="6">
        <f ca="1">K10</f>
        <v>60.160734680164097</v>
      </c>
      <c r="H10" s="4"/>
      <c r="I10" t="s">
        <v>98</v>
      </c>
      <c r="J10">
        <v>3</v>
      </c>
      <c r="K10" s="6">
        <f t="shared" ca="1" si="0"/>
        <v>60.160734680164097</v>
      </c>
    </row>
    <row r="11" spans="1:11" ht="15" customHeight="1" x14ac:dyDescent="0.25">
      <c r="K11" s="6" t="e">
        <f t="shared" ca="1" si="0"/>
        <v>#REF!</v>
      </c>
    </row>
    <row r="12" spans="1:11" ht="15" customHeight="1" x14ac:dyDescent="0.25">
      <c r="A12">
        <v>2017</v>
      </c>
      <c r="B12">
        <v>73</v>
      </c>
      <c r="C12" t="s">
        <v>87</v>
      </c>
      <c r="D12" t="s">
        <v>76</v>
      </c>
      <c r="E12" s="6">
        <f ca="1">K12</f>
        <v>60.160734680164097</v>
      </c>
      <c r="H12" s="4"/>
      <c r="I12" t="s">
        <v>98</v>
      </c>
      <c r="J12">
        <v>3</v>
      </c>
      <c r="K12" s="6">
        <f t="shared" ca="1" si="0"/>
        <v>60.160734680164097</v>
      </c>
    </row>
    <row r="13" spans="1:11" ht="15" customHeight="1" x14ac:dyDescent="0.25">
      <c r="K13" s="6" t="e">
        <f t="shared" ca="1" si="0"/>
        <v>#REF!</v>
      </c>
    </row>
    <row r="14" spans="1:11" ht="15" customHeight="1" x14ac:dyDescent="0.25">
      <c r="A14">
        <v>2017</v>
      </c>
      <c r="B14">
        <v>73</v>
      </c>
      <c r="C14" t="s">
        <v>87</v>
      </c>
      <c r="D14" t="s">
        <v>77</v>
      </c>
      <c r="E14" s="6">
        <f ca="1">K14</f>
        <v>20</v>
      </c>
      <c r="H14" s="4"/>
      <c r="I14" t="s">
        <v>99</v>
      </c>
      <c r="J14">
        <v>3</v>
      </c>
      <c r="K14" s="6">
        <f t="shared" ca="1" si="0"/>
        <v>20</v>
      </c>
    </row>
    <row r="15" spans="1:11" ht="15" customHeight="1" x14ac:dyDescent="0.25">
      <c r="K15" s="6" t="e">
        <f t="shared" ca="1" si="0"/>
        <v>#REF!</v>
      </c>
    </row>
    <row r="16" spans="1:11" ht="15" customHeight="1" x14ac:dyDescent="0.25">
      <c r="A16">
        <v>2017</v>
      </c>
      <c r="B16">
        <v>73</v>
      </c>
      <c r="C16" t="s">
        <v>87</v>
      </c>
      <c r="D16" t="s">
        <v>78</v>
      </c>
      <c r="E16" s="6">
        <f ca="1">K16</f>
        <v>20</v>
      </c>
      <c r="H16" s="4"/>
      <c r="I16" t="s">
        <v>99</v>
      </c>
      <c r="J16">
        <v>3</v>
      </c>
      <c r="K16" s="6">
        <f t="shared" ca="1" si="0"/>
        <v>20</v>
      </c>
    </row>
    <row r="17" spans="1:11" ht="15" customHeight="1" x14ac:dyDescent="0.25">
      <c r="K17" s="6" t="e">
        <f t="shared" ca="1" si="0"/>
        <v>#REF!</v>
      </c>
    </row>
    <row r="18" spans="1:11" ht="15" customHeight="1" x14ac:dyDescent="0.25">
      <c r="A18">
        <v>2017</v>
      </c>
      <c r="B18">
        <v>73</v>
      </c>
      <c r="C18" t="s">
        <v>87</v>
      </c>
      <c r="D18" t="s">
        <v>79</v>
      </c>
      <c r="E18" s="6">
        <f t="shared" ref="E18:E80" ca="1" si="1">K18</f>
        <v>20</v>
      </c>
      <c r="H18" s="4"/>
      <c r="I18" t="s">
        <v>99</v>
      </c>
      <c r="J18">
        <v>3</v>
      </c>
      <c r="K18" s="6">
        <f t="shared" ca="1" si="0"/>
        <v>20</v>
      </c>
    </row>
    <row r="20" spans="1:11" ht="15" customHeight="1" x14ac:dyDescent="0.25">
      <c r="A20">
        <v>2017</v>
      </c>
      <c r="B20">
        <v>2</v>
      </c>
      <c r="C20" t="s">
        <v>19</v>
      </c>
      <c r="D20" t="s">
        <v>292</v>
      </c>
      <c r="E20" s="6">
        <f t="shared" ca="1" si="1"/>
        <v>31.579359773665992</v>
      </c>
      <c r="H20" s="4"/>
      <c r="I20" t="s">
        <v>97</v>
      </c>
      <c r="J20">
        <v>4</v>
      </c>
      <c r="K20" s="6">
        <f ca="1">INDIRECT(CONCATENATE("'P Fertilizer Rate'!",I20,J20))</f>
        <v>31.579359773665992</v>
      </c>
    </row>
    <row r="21" spans="1:11" ht="15" customHeight="1" x14ac:dyDescent="0.25">
      <c r="K21" s="6" t="e">
        <f t="shared" ref="K21:K36" ca="1" si="2">INDIRECT(CONCATENATE("'P Fertilizer Rate'!",I21,J21))</f>
        <v>#REF!</v>
      </c>
    </row>
    <row r="22" spans="1:11" ht="15" customHeight="1" x14ac:dyDescent="0.25">
      <c r="A22">
        <v>2017</v>
      </c>
      <c r="B22">
        <v>2</v>
      </c>
      <c r="C22" t="s">
        <v>19</v>
      </c>
      <c r="D22" t="s">
        <v>293</v>
      </c>
      <c r="E22" s="6">
        <f t="shared" ca="1" si="1"/>
        <v>31.579359773665992</v>
      </c>
      <c r="H22" s="4"/>
      <c r="I22" t="s">
        <v>97</v>
      </c>
      <c r="J22">
        <v>4</v>
      </c>
      <c r="K22" s="6">
        <f t="shared" ca="1" si="2"/>
        <v>31.579359773665992</v>
      </c>
    </row>
    <row r="23" spans="1:11" ht="15" customHeight="1" x14ac:dyDescent="0.25">
      <c r="K23" s="6" t="e">
        <f t="shared" ca="1" si="2"/>
        <v>#REF!</v>
      </c>
    </row>
    <row r="24" spans="1:11" ht="15" customHeight="1" x14ac:dyDescent="0.25">
      <c r="A24">
        <v>2017</v>
      </c>
      <c r="B24">
        <v>2</v>
      </c>
      <c r="C24" t="s">
        <v>19</v>
      </c>
      <c r="D24" t="s">
        <v>294</v>
      </c>
      <c r="E24" s="6">
        <f t="shared" ca="1" si="1"/>
        <v>31.579359773665992</v>
      </c>
      <c r="H24" s="4"/>
      <c r="I24" t="s">
        <v>97</v>
      </c>
      <c r="J24">
        <v>4</v>
      </c>
      <c r="K24" s="6">
        <f t="shared" ca="1" si="2"/>
        <v>31.579359773665992</v>
      </c>
    </row>
    <row r="25" spans="1:11" ht="15" customHeight="1" x14ac:dyDescent="0.25">
      <c r="K25" s="6" t="e">
        <f t="shared" ca="1" si="2"/>
        <v>#REF!</v>
      </c>
    </row>
    <row r="26" spans="1:11" ht="15" customHeight="1" x14ac:dyDescent="0.25">
      <c r="A26">
        <v>2017</v>
      </c>
      <c r="B26">
        <v>2</v>
      </c>
      <c r="C26" t="s">
        <v>19</v>
      </c>
      <c r="D26" t="s">
        <v>74</v>
      </c>
      <c r="E26" s="6">
        <f t="shared" ca="1" si="1"/>
        <v>25.263487818932795</v>
      </c>
      <c r="H26" s="4"/>
      <c r="I26" t="s">
        <v>98</v>
      </c>
      <c r="J26">
        <v>4</v>
      </c>
      <c r="K26" s="6">
        <f t="shared" ca="1" si="2"/>
        <v>25.263487818932795</v>
      </c>
    </row>
    <row r="27" spans="1:11" ht="15" customHeight="1" x14ac:dyDescent="0.25">
      <c r="K27" s="6" t="e">
        <f t="shared" ca="1" si="2"/>
        <v>#REF!</v>
      </c>
    </row>
    <row r="28" spans="1:11" ht="15" customHeight="1" x14ac:dyDescent="0.25">
      <c r="A28">
        <v>2017</v>
      </c>
      <c r="B28">
        <v>2</v>
      </c>
      <c r="C28" t="s">
        <v>19</v>
      </c>
      <c r="D28" t="s">
        <v>75</v>
      </c>
      <c r="E28" s="6">
        <f t="shared" ca="1" si="1"/>
        <v>25.263487818932795</v>
      </c>
      <c r="H28" s="4"/>
      <c r="I28" t="s">
        <v>98</v>
      </c>
      <c r="J28">
        <v>4</v>
      </c>
      <c r="K28" s="6">
        <f t="shared" ca="1" si="2"/>
        <v>25.263487818932795</v>
      </c>
    </row>
    <row r="29" spans="1:11" ht="15" customHeight="1" x14ac:dyDescent="0.25">
      <c r="K29" s="6" t="e">
        <f t="shared" ca="1" si="2"/>
        <v>#REF!</v>
      </c>
    </row>
    <row r="30" spans="1:11" ht="15" customHeight="1" x14ac:dyDescent="0.25">
      <c r="A30">
        <v>2017</v>
      </c>
      <c r="B30">
        <v>2</v>
      </c>
      <c r="C30" t="s">
        <v>19</v>
      </c>
      <c r="D30" t="s">
        <v>76</v>
      </c>
      <c r="E30" s="6">
        <f t="shared" ca="1" si="1"/>
        <v>25.263487818932795</v>
      </c>
      <c r="H30" s="4"/>
      <c r="I30" t="s">
        <v>98</v>
      </c>
      <c r="J30">
        <v>4</v>
      </c>
      <c r="K30" s="6">
        <f t="shared" ca="1" si="2"/>
        <v>25.263487818932795</v>
      </c>
    </row>
    <row r="31" spans="1:11" ht="15" customHeight="1" x14ac:dyDescent="0.25">
      <c r="K31" s="6" t="e">
        <f t="shared" ca="1" si="2"/>
        <v>#REF!</v>
      </c>
    </row>
    <row r="32" spans="1:11" ht="15" customHeight="1" x14ac:dyDescent="0.25">
      <c r="A32">
        <v>2017</v>
      </c>
      <c r="B32">
        <v>2</v>
      </c>
      <c r="C32" t="s">
        <v>19</v>
      </c>
      <c r="D32" t="s">
        <v>77</v>
      </c>
      <c r="E32" s="6">
        <f t="shared" ca="1" si="1"/>
        <v>20</v>
      </c>
      <c r="H32" s="4"/>
      <c r="I32" t="s">
        <v>99</v>
      </c>
      <c r="J32">
        <v>4</v>
      </c>
      <c r="K32" s="6">
        <f t="shared" ca="1" si="2"/>
        <v>20</v>
      </c>
    </row>
    <row r="33" spans="1:11" ht="15" customHeight="1" x14ac:dyDescent="0.25">
      <c r="K33" s="6" t="e">
        <f t="shared" ca="1" si="2"/>
        <v>#REF!</v>
      </c>
    </row>
    <row r="34" spans="1:11" ht="15" customHeight="1" x14ac:dyDescent="0.25">
      <c r="A34">
        <v>2017</v>
      </c>
      <c r="B34">
        <v>2</v>
      </c>
      <c r="C34" t="s">
        <v>19</v>
      </c>
      <c r="D34" t="s">
        <v>78</v>
      </c>
      <c r="E34" s="6">
        <f t="shared" ca="1" si="1"/>
        <v>20</v>
      </c>
      <c r="H34" s="4"/>
      <c r="I34" t="s">
        <v>99</v>
      </c>
      <c r="J34">
        <v>4</v>
      </c>
      <c r="K34" s="6">
        <f t="shared" ca="1" si="2"/>
        <v>20</v>
      </c>
    </row>
    <row r="35" spans="1:11" ht="15" customHeight="1" x14ac:dyDescent="0.25">
      <c r="K35" s="6" t="e">
        <f t="shared" ca="1" si="2"/>
        <v>#REF!</v>
      </c>
    </row>
    <row r="36" spans="1:11" ht="15" customHeight="1" x14ac:dyDescent="0.25">
      <c r="A36">
        <v>2017</v>
      </c>
      <c r="B36">
        <v>2</v>
      </c>
      <c r="C36" t="s">
        <v>19</v>
      </c>
      <c r="D36" t="s">
        <v>79</v>
      </c>
      <c r="E36" s="6">
        <f t="shared" ca="1" si="1"/>
        <v>20</v>
      </c>
      <c r="H36" s="4"/>
      <c r="I36" t="s">
        <v>99</v>
      </c>
      <c r="J36">
        <v>4</v>
      </c>
      <c r="K36" s="6">
        <f t="shared" ca="1" si="2"/>
        <v>20</v>
      </c>
    </row>
    <row r="38" spans="1:11" ht="15" customHeight="1" x14ac:dyDescent="0.25">
      <c r="A38">
        <v>2017</v>
      </c>
      <c r="B38">
        <v>79</v>
      </c>
      <c r="C38" t="s">
        <v>20</v>
      </c>
      <c r="D38" t="s">
        <v>292</v>
      </c>
      <c r="E38" s="6">
        <f t="shared" ca="1" si="1"/>
        <v>82.64315848764285</v>
      </c>
      <c r="I38" t="s">
        <v>97</v>
      </c>
      <c r="J38">
        <v>5</v>
      </c>
      <c r="K38" s="6">
        <f t="shared" ref="K38:K90" ca="1" si="3">INDIRECT(CONCATENATE("'P Fertilizer Rate'!",I38,J38))</f>
        <v>82.64315848764285</v>
      </c>
    </row>
    <row r="39" spans="1:11" ht="15" customHeight="1" x14ac:dyDescent="0.25">
      <c r="K39" s="6" t="e">
        <f t="shared" ca="1" si="3"/>
        <v>#REF!</v>
      </c>
    </row>
    <row r="40" spans="1:11" ht="15" customHeight="1" x14ac:dyDescent="0.25">
      <c r="A40">
        <v>2017</v>
      </c>
      <c r="B40">
        <v>79</v>
      </c>
      <c r="C40" t="s">
        <v>20</v>
      </c>
      <c r="D40" t="s">
        <v>293</v>
      </c>
      <c r="E40" s="6">
        <f t="shared" ca="1" si="1"/>
        <v>82.64315848764285</v>
      </c>
      <c r="I40" t="s">
        <v>97</v>
      </c>
      <c r="J40">
        <v>5</v>
      </c>
      <c r="K40" s="6">
        <f t="shared" ca="1" si="3"/>
        <v>82.64315848764285</v>
      </c>
    </row>
    <row r="41" spans="1:11" ht="15" customHeight="1" x14ac:dyDescent="0.25">
      <c r="K41" s="6" t="e">
        <f t="shared" ca="1" si="3"/>
        <v>#REF!</v>
      </c>
    </row>
    <row r="42" spans="1:11" ht="15" customHeight="1" x14ac:dyDescent="0.25">
      <c r="A42">
        <v>2017</v>
      </c>
      <c r="B42">
        <v>79</v>
      </c>
      <c r="C42" t="s">
        <v>20</v>
      </c>
      <c r="D42" t="s">
        <v>294</v>
      </c>
      <c r="E42" s="6">
        <f t="shared" ca="1" si="1"/>
        <v>82.64315848764285</v>
      </c>
      <c r="I42" t="s">
        <v>97</v>
      </c>
      <c r="J42">
        <v>5</v>
      </c>
      <c r="K42" s="6">
        <f t="shared" ca="1" si="3"/>
        <v>82.64315848764285</v>
      </c>
    </row>
    <row r="43" spans="1:11" ht="15" customHeight="1" x14ac:dyDescent="0.25">
      <c r="K43" s="6" t="e">
        <f t="shared" ca="1" si="3"/>
        <v>#REF!</v>
      </c>
    </row>
    <row r="44" spans="1:11" ht="15" customHeight="1" x14ac:dyDescent="0.25">
      <c r="A44">
        <v>2017</v>
      </c>
      <c r="B44">
        <v>79</v>
      </c>
      <c r="C44" t="s">
        <v>20</v>
      </c>
      <c r="D44" t="s">
        <v>74</v>
      </c>
      <c r="E44" s="6">
        <f t="shared" ca="1" si="1"/>
        <v>66.114526790114283</v>
      </c>
      <c r="I44" t="s">
        <v>98</v>
      </c>
      <c r="J44">
        <v>5</v>
      </c>
      <c r="K44" s="6">
        <f t="shared" ca="1" si="3"/>
        <v>66.114526790114283</v>
      </c>
    </row>
    <row r="45" spans="1:11" ht="15" customHeight="1" x14ac:dyDescent="0.25">
      <c r="K45" s="6" t="e">
        <f t="shared" ca="1" si="3"/>
        <v>#REF!</v>
      </c>
    </row>
    <row r="46" spans="1:11" ht="15" customHeight="1" x14ac:dyDescent="0.25">
      <c r="A46">
        <v>2017</v>
      </c>
      <c r="B46">
        <v>79</v>
      </c>
      <c r="C46" t="s">
        <v>20</v>
      </c>
      <c r="D46" t="s">
        <v>75</v>
      </c>
      <c r="E46" s="6">
        <f t="shared" ca="1" si="1"/>
        <v>66.114526790114283</v>
      </c>
      <c r="I46" t="s">
        <v>98</v>
      </c>
      <c r="J46">
        <v>5</v>
      </c>
      <c r="K46" s="6">
        <f t="shared" ca="1" si="3"/>
        <v>66.114526790114283</v>
      </c>
    </row>
    <row r="47" spans="1:11" ht="15" customHeight="1" x14ac:dyDescent="0.25">
      <c r="K47" s="6" t="e">
        <f t="shared" ca="1" si="3"/>
        <v>#REF!</v>
      </c>
    </row>
    <row r="48" spans="1:11" ht="15" customHeight="1" x14ac:dyDescent="0.25">
      <c r="A48">
        <v>2017</v>
      </c>
      <c r="B48">
        <v>79</v>
      </c>
      <c r="C48" t="s">
        <v>20</v>
      </c>
      <c r="D48" t="s">
        <v>76</v>
      </c>
      <c r="E48" s="6">
        <f t="shared" ca="1" si="1"/>
        <v>66.114526790114283</v>
      </c>
      <c r="I48" t="s">
        <v>98</v>
      </c>
      <c r="J48">
        <v>5</v>
      </c>
      <c r="K48" s="6">
        <f t="shared" ca="1" si="3"/>
        <v>66.114526790114283</v>
      </c>
    </row>
    <row r="49" spans="1:11" ht="15" customHeight="1" x14ac:dyDescent="0.25">
      <c r="K49" s="6" t="e">
        <f t="shared" ca="1" si="3"/>
        <v>#REF!</v>
      </c>
    </row>
    <row r="50" spans="1:11" ht="15" customHeight="1" x14ac:dyDescent="0.25">
      <c r="A50">
        <v>2017</v>
      </c>
      <c r="B50">
        <v>79</v>
      </c>
      <c r="C50" t="s">
        <v>20</v>
      </c>
      <c r="D50" t="s">
        <v>77</v>
      </c>
      <c r="E50" s="6">
        <f t="shared" ca="1" si="1"/>
        <v>20</v>
      </c>
      <c r="I50" t="s">
        <v>99</v>
      </c>
      <c r="J50">
        <v>5</v>
      </c>
      <c r="K50" s="6">
        <f t="shared" ca="1" si="3"/>
        <v>20</v>
      </c>
    </row>
    <row r="51" spans="1:11" ht="15" customHeight="1" x14ac:dyDescent="0.25">
      <c r="K51" s="6" t="e">
        <f t="shared" ca="1" si="3"/>
        <v>#REF!</v>
      </c>
    </row>
    <row r="52" spans="1:11" ht="15" customHeight="1" x14ac:dyDescent="0.25">
      <c r="A52">
        <v>2017</v>
      </c>
      <c r="B52">
        <v>79</v>
      </c>
      <c r="C52" t="s">
        <v>20</v>
      </c>
      <c r="D52" t="s">
        <v>78</v>
      </c>
      <c r="E52" s="6">
        <f t="shared" ca="1" si="1"/>
        <v>20</v>
      </c>
      <c r="I52" t="s">
        <v>99</v>
      </c>
      <c r="J52">
        <v>5</v>
      </c>
      <c r="K52" s="6">
        <f t="shared" ca="1" si="3"/>
        <v>20</v>
      </c>
    </row>
    <row r="53" spans="1:11" ht="15" customHeight="1" x14ac:dyDescent="0.25">
      <c r="K53" s="6" t="e">
        <f t="shared" ca="1" si="3"/>
        <v>#REF!</v>
      </c>
    </row>
    <row r="54" spans="1:11" ht="15" customHeight="1" x14ac:dyDescent="0.25">
      <c r="A54">
        <v>2017</v>
      </c>
      <c r="B54">
        <v>79</v>
      </c>
      <c r="C54" t="s">
        <v>20</v>
      </c>
      <c r="D54" t="s">
        <v>79</v>
      </c>
      <c r="E54" s="6">
        <f t="shared" ca="1" si="1"/>
        <v>20</v>
      </c>
      <c r="I54" t="s">
        <v>99</v>
      </c>
      <c r="J54">
        <v>5</v>
      </c>
      <c r="K54" s="6">
        <f t="shared" ca="1" si="3"/>
        <v>20</v>
      </c>
    </row>
    <row r="56" spans="1:11" ht="15" customHeight="1" x14ac:dyDescent="0.25">
      <c r="A56">
        <v>2017</v>
      </c>
      <c r="B56">
        <v>77</v>
      </c>
      <c r="C56" t="s">
        <v>21</v>
      </c>
      <c r="D56" t="s">
        <v>292</v>
      </c>
      <c r="E56" s="6">
        <f t="shared" ca="1" si="1"/>
        <v>62.438076111232874</v>
      </c>
      <c r="I56" t="s">
        <v>97</v>
      </c>
      <c r="J56">
        <f>J38+1</f>
        <v>6</v>
      </c>
      <c r="K56" s="6">
        <f t="shared" ref="K56:K108" ca="1" si="4">INDIRECT(CONCATENATE("'P Fertilizer Rate'!",I56,J56))</f>
        <v>62.438076111232874</v>
      </c>
    </row>
    <row r="57" spans="1:11" ht="15" customHeight="1" x14ac:dyDescent="0.25">
      <c r="K57" s="6" t="e">
        <f t="shared" ca="1" si="4"/>
        <v>#REF!</v>
      </c>
    </row>
    <row r="58" spans="1:11" ht="15" customHeight="1" x14ac:dyDescent="0.25">
      <c r="A58">
        <v>2017</v>
      </c>
      <c r="B58">
        <v>77</v>
      </c>
      <c r="C58" t="s">
        <v>21</v>
      </c>
      <c r="D58" t="s">
        <v>293</v>
      </c>
      <c r="E58" s="6">
        <f t="shared" ca="1" si="1"/>
        <v>62.438076111232874</v>
      </c>
      <c r="I58" t="s">
        <v>97</v>
      </c>
      <c r="J58">
        <f>J40+1</f>
        <v>6</v>
      </c>
      <c r="K58" s="6">
        <f t="shared" ca="1" si="4"/>
        <v>62.438076111232874</v>
      </c>
    </row>
    <row r="59" spans="1:11" ht="15" customHeight="1" x14ac:dyDescent="0.25">
      <c r="K59" s="6" t="e">
        <f t="shared" ca="1" si="4"/>
        <v>#REF!</v>
      </c>
    </row>
    <row r="60" spans="1:11" ht="15" customHeight="1" x14ac:dyDescent="0.25">
      <c r="A60">
        <v>2017</v>
      </c>
      <c r="B60">
        <v>77</v>
      </c>
      <c r="C60" t="s">
        <v>21</v>
      </c>
      <c r="D60" t="s">
        <v>294</v>
      </c>
      <c r="E60" s="6">
        <f t="shared" ca="1" si="1"/>
        <v>62.438076111232874</v>
      </c>
      <c r="I60" t="s">
        <v>97</v>
      </c>
      <c r="J60">
        <f>J42+1</f>
        <v>6</v>
      </c>
      <c r="K60" s="6">
        <f t="shared" ca="1" si="4"/>
        <v>62.438076111232874</v>
      </c>
    </row>
    <row r="61" spans="1:11" ht="15" customHeight="1" x14ac:dyDescent="0.25">
      <c r="K61" s="6" t="e">
        <f t="shared" ca="1" si="4"/>
        <v>#REF!</v>
      </c>
    </row>
    <row r="62" spans="1:11" ht="15" customHeight="1" x14ac:dyDescent="0.25">
      <c r="A62">
        <v>2017</v>
      </c>
      <c r="B62">
        <v>77</v>
      </c>
      <c r="C62" t="s">
        <v>21</v>
      </c>
      <c r="D62" t="s">
        <v>74</v>
      </c>
      <c r="E62" s="6">
        <f t="shared" ca="1" si="1"/>
        <v>49.950460888986299</v>
      </c>
      <c r="I62" t="s">
        <v>98</v>
      </c>
      <c r="J62">
        <f>J44+1</f>
        <v>6</v>
      </c>
      <c r="K62" s="6">
        <f t="shared" ca="1" si="4"/>
        <v>49.950460888986299</v>
      </c>
    </row>
    <row r="63" spans="1:11" ht="15" customHeight="1" x14ac:dyDescent="0.25">
      <c r="K63" s="6" t="e">
        <f t="shared" ca="1" si="4"/>
        <v>#REF!</v>
      </c>
    </row>
    <row r="64" spans="1:11" ht="15" customHeight="1" x14ac:dyDescent="0.25">
      <c r="A64">
        <v>2017</v>
      </c>
      <c r="B64">
        <v>77</v>
      </c>
      <c r="C64" t="s">
        <v>21</v>
      </c>
      <c r="D64" t="s">
        <v>75</v>
      </c>
      <c r="E64" s="6">
        <f t="shared" ca="1" si="1"/>
        <v>49.950460888986299</v>
      </c>
      <c r="I64" t="s">
        <v>98</v>
      </c>
      <c r="J64">
        <f>J46+1</f>
        <v>6</v>
      </c>
      <c r="K64" s="6">
        <f t="shared" ca="1" si="4"/>
        <v>49.950460888986299</v>
      </c>
    </row>
    <row r="65" spans="1:11" ht="15" customHeight="1" x14ac:dyDescent="0.25">
      <c r="K65" s="6" t="e">
        <f t="shared" ca="1" si="4"/>
        <v>#REF!</v>
      </c>
    </row>
    <row r="66" spans="1:11" ht="15" customHeight="1" x14ac:dyDescent="0.25">
      <c r="A66">
        <v>2017</v>
      </c>
      <c r="B66">
        <v>77</v>
      </c>
      <c r="C66" t="s">
        <v>21</v>
      </c>
      <c r="D66" t="s">
        <v>76</v>
      </c>
      <c r="E66" s="6">
        <f t="shared" ca="1" si="1"/>
        <v>49.950460888986299</v>
      </c>
      <c r="I66" t="s">
        <v>98</v>
      </c>
      <c r="J66">
        <f>J48+1</f>
        <v>6</v>
      </c>
      <c r="K66" s="6">
        <f t="shared" ca="1" si="4"/>
        <v>49.950460888986299</v>
      </c>
    </row>
    <row r="67" spans="1:11" ht="15" customHeight="1" x14ac:dyDescent="0.25">
      <c r="K67" s="6" t="e">
        <f t="shared" ca="1" si="4"/>
        <v>#REF!</v>
      </c>
    </row>
    <row r="68" spans="1:11" ht="15" customHeight="1" x14ac:dyDescent="0.25">
      <c r="A68">
        <v>2017</v>
      </c>
      <c r="B68">
        <v>77</v>
      </c>
      <c r="C68" t="s">
        <v>21</v>
      </c>
      <c r="D68" t="s">
        <v>77</v>
      </c>
      <c r="E68" s="6">
        <f t="shared" ca="1" si="1"/>
        <v>20</v>
      </c>
      <c r="I68" t="s">
        <v>99</v>
      </c>
      <c r="J68">
        <f>J50+1</f>
        <v>6</v>
      </c>
      <c r="K68" s="6">
        <f t="shared" ca="1" si="4"/>
        <v>20</v>
      </c>
    </row>
    <row r="69" spans="1:11" ht="15" customHeight="1" x14ac:dyDescent="0.25">
      <c r="K69" s="6" t="e">
        <f t="shared" ca="1" si="4"/>
        <v>#REF!</v>
      </c>
    </row>
    <row r="70" spans="1:11" ht="15" customHeight="1" x14ac:dyDescent="0.25">
      <c r="A70">
        <v>2017</v>
      </c>
      <c r="B70">
        <v>77</v>
      </c>
      <c r="C70" t="s">
        <v>21</v>
      </c>
      <c r="D70" t="s">
        <v>78</v>
      </c>
      <c r="E70" s="6">
        <f t="shared" ca="1" si="1"/>
        <v>20</v>
      </c>
      <c r="I70" t="s">
        <v>99</v>
      </c>
      <c r="J70">
        <f>J52+1</f>
        <v>6</v>
      </c>
      <c r="K70" s="6">
        <f t="shared" ca="1" si="4"/>
        <v>20</v>
      </c>
    </row>
    <row r="71" spans="1:11" ht="15" customHeight="1" x14ac:dyDescent="0.25">
      <c r="K71" s="6" t="e">
        <f t="shared" ca="1" si="4"/>
        <v>#REF!</v>
      </c>
    </row>
    <row r="72" spans="1:11" ht="15" customHeight="1" x14ac:dyDescent="0.25">
      <c r="A72">
        <v>2017</v>
      </c>
      <c r="B72">
        <v>77</v>
      </c>
      <c r="C72" t="s">
        <v>21</v>
      </c>
      <c r="D72" t="s">
        <v>79</v>
      </c>
      <c r="E72" s="6">
        <f t="shared" ca="1" si="1"/>
        <v>20</v>
      </c>
      <c r="I72" t="s">
        <v>99</v>
      </c>
      <c r="J72">
        <f>J54+1</f>
        <v>6</v>
      </c>
      <c r="K72" s="6">
        <f t="shared" ca="1" si="4"/>
        <v>20</v>
      </c>
    </row>
    <row r="74" spans="1:11" ht="15" customHeight="1" x14ac:dyDescent="0.25">
      <c r="A74">
        <v>2017</v>
      </c>
      <c r="B74">
        <v>51</v>
      </c>
      <c r="C74" t="s">
        <v>22</v>
      </c>
      <c r="D74" t="s">
        <v>292</v>
      </c>
      <c r="E74" s="6">
        <f t="shared" ca="1" si="1"/>
        <v>84.984021800775452</v>
      </c>
      <c r="I74" t="s">
        <v>97</v>
      </c>
      <c r="J74">
        <f>J56+1</f>
        <v>7</v>
      </c>
      <c r="K74" s="6">
        <f ca="1">INDIRECT(CONCATENATE("'P Fertilizer Rate'!",I74,J74))</f>
        <v>84.984021800775452</v>
      </c>
    </row>
    <row r="75" spans="1:11" ht="15" customHeight="1" x14ac:dyDescent="0.25">
      <c r="K75" s="6" t="e">
        <f t="shared" ca="1" si="3"/>
        <v>#REF!</v>
      </c>
    </row>
    <row r="76" spans="1:11" ht="15" customHeight="1" x14ac:dyDescent="0.25">
      <c r="A76">
        <v>2017</v>
      </c>
      <c r="B76">
        <v>51</v>
      </c>
      <c r="C76" t="s">
        <v>22</v>
      </c>
      <c r="D76" t="s">
        <v>293</v>
      </c>
      <c r="E76" s="6">
        <f t="shared" ca="1" si="1"/>
        <v>84.984021800775452</v>
      </c>
      <c r="I76" t="s">
        <v>97</v>
      </c>
      <c r="J76">
        <f>J58+1</f>
        <v>7</v>
      </c>
      <c r="K76" s="6">
        <f t="shared" ca="1" si="3"/>
        <v>84.984021800775452</v>
      </c>
    </row>
    <row r="77" spans="1:11" ht="15" customHeight="1" x14ac:dyDescent="0.25">
      <c r="K77" s="6" t="e">
        <f t="shared" ca="1" si="3"/>
        <v>#REF!</v>
      </c>
    </row>
    <row r="78" spans="1:11" ht="15" customHeight="1" x14ac:dyDescent="0.25">
      <c r="A78">
        <v>2017</v>
      </c>
      <c r="B78">
        <v>51</v>
      </c>
      <c r="C78" t="s">
        <v>22</v>
      </c>
      <c r="D78" t="s">
        <v>294</v>
      </c>
      <c r="E78" s="6">
        <f t="shared" ca="1" si="1"/>
        <v>84.984021800775452</v>
      </c>
      <c r="I78" t="s">
        <v>97</v>
      </c>
      <c r="J78">
        <f>J60+1</f>
        <v>7</v>
      </c>
      <c r="K78" s="6">
        <f t="shared" ca="1" si="3"/>
        <v>84.984021800775452</v>
      </c>
    </row>
    <row r="79" spans="1:11" ht="15" customHeight="1" x14ac:dyDescent="0.25">
      <c r="K79" s="6" t="e">
        <f t="shared" ca="1" si="3"/>
        <v>#REF!</v>
      </c>
    </row>
    <row r="80" spans="1:11" ht="15" customHeight="1" x14ac:dyDescent="0.25">
      <c r="A80">
        <v>2017</v>
      </c>
      <c r="B80">
        <v>51</v>
      </c>
      <c r="C80" t="s">
        <v>22</v>
      </c>
      <c r="D80" t="s">
        <v>74</v>
      </c>
      <c r="E80" s="6">
        <f t="shared" ca="1" si="1"/>
        <v>67.987217440620356</v>
      </c>
      <c r="I80" t="s">
        <v>98</v>
      </c>
      <c r="J80">
        <f>J62+1</f>
        <v>7</v>
      </c>
      <c r="K80" s="6">
        <f t="shared" ca="1" si="3"/>
        <v>67.987217440620356</v>
      </c>
    </row>
    <row r="81" spans="1:11" ht="15" customHeight="1" x14ac:dyDescent="0.25">
      <c r="K81" s="6" t="e">
        <f t="shared" ca="1" si="3"/>
        <v>#REF!</v>
      </c>
    </row>
    <row r="82" spans="1:11" ht="15" customHeight="1" x14ac:dyDescent="0.25">
      <c r="A82">
        <v>2017</v>
      </c>
      <c r="B82">
        <v>51</v>
      </c>
      <c r="C82" t="s">
        <v>22</v>
      </c>
      <c r="D82" t="s">
        <v>75</v>
      </c>
      <c r="E82" s="6">
        <f t="shared" ref="E82:E144" ca="1" si="5">K82</f>
        <v>67.987217440620356</v>
      </c>
      <c r="I82" t="s">
        <v>98</v>
      </c>
      <c r="J82">
        <f>J64+1</f>
        <v>7</v>
      </c>
      <c r="K82" s="6">
        <f t="shared" ca="1" si="3"/>
        <v>67.987217440620356</v>
      </c>
    </row>
    <row r="83" spans="1:11" ht="15" customHeight="1" x14ac:dyDescent="0.25">
      <c r="K83" s="6" t="e">
        <f t="shared" ca="1" si="3"/>
        <v>#REF!</v>
      </c>
    </row>
    <row r="84" spans="1:11" ht="15" customHeight="1" x14ac:dyDescent="0.25">
      <c r="A84">
        <v>2017</v>
      </c>
      <c r="B84">
        <v>51</v>
      </c>
      <c r="C84" t="s">
        <v>22</v>
      </c>
      <c r="D84" t="s">
        <v>76</v>
      </c>
      <c r="E84" s="6">
        <f t="shared" ca="1" si="5"/>
        <v>67.987217440620356</v>
      </c>
      <c r="I84" t="s">
        <v>98</v>
      </c>
      <c r="J84">
        <f>J66+1</f>
        <v>7</v>
      </c>
      <c r="K84" s="6">
        <f t="shared" ca="1" si="3"/>
        <v>67.987217440620356</v>
      </c>
    </row>
    <row r="85" spans="1:11" ht="15" customHeight="1" x14ac:dyDescent="0.25">
      <c r="K85" s="6" t="e">
        <f t="shared" ca="1" si="3"/>
        <v>#REF!</v>
      </c>
    </row>
    <row r="86" spans="1:11" ht="15" customHeight="1" x14ac:dyDescent="0.25">
      <c r="A86">
        <v>2017</v>
      </c>
      <c r="B86">
        <v>51</v>
      </c>
      <c r="C86" t="s">
        <v>22</v>
      </c>
      <c r="D86" t="s">
        <v>77</v>
      </c>
      <c r="E86" s="6">
        <f t="shared" ca="1" si="5"/>
        <v>20</v>
      </c>
      <c r="I86" t="s">
        <v>99</v>
      </c>
      <c r="J86">
        <f>J68+1</f>
        <v>7</v>
      </c>
      <c r="K86" s="6">
        <f t="shared" ca="1" si="3"/>
        <v>20</v>
      </c>
    </row>
    <row r="87" spans="1:11" ht="15" customHeight="1" x14ac:dyDescent="0.25">
      <c r="K87" s="6" t="e">
        <f t="shared" ca="1" si="3"/>
        <v>#REF!</v>
      </c>
    </row>
    <row r="88" spans="1:11" ht="15" customHeight="1" x14ac:dyDescent="0.25">
      <c r="A88">
        <v>2017</v>
      </c>
      <c r="B88">
        <v>51</v>
      </c>
      <c r="C88" t="s">
        <v>22</v>
      </c>
      <c r="D88" t="s">
        <v>78</v>
      </c>
      <c r="E88" s="6">
        <f t="shared" ca="1" si="5"/>
        <v>20</v>
      </c>
      <c r="I88" t="s">
        <v>99</v>
      </c>
      <c r="J88">
        <f>J70+1</f>
        <v>7</v>
      </c>
      <c r="K88" s="6">
        <f t="shared" ca="1" si="3"/>
        <v>20</v>
      </c>
    </row>
    <row r="89" spans="1:11" ht="15" customHeight="1" x14ac:dyDescent="0.25">
      <c r="K89" s="6" t="e">
        <f t="shared" ca="1" si="3"/>
        <v>#REF!</v>
      </c>
    </row>
    <row r="90" spans="1:11" ht="15" customHeight="1" x14ac:dyDescent="0.25">
      <c r="A90">
        <v>2017</v>
      </c>
      <c r="B90">
        <v>51</v>
      </c>
      <c r="C90" t="s">
        <v>22</v>
      </c>
      <c r="D90" t="s">
        <v>79</v>
      </c>
      <c r="E90" s="6">
        <f t="shared" ca="1" si="5"/>
        <v>20</v>
      </c>
      <c r="I90" t="s">
        <v>99</v>
      </c>
      <c r="J90">
        <f>J72+1</f>
        <v>7</v>
      </c>
      <c r="K90" s="6">
        <f t="shared" ca="1" si="3"/>
        <v>20</v>
      </c>
    </row>
    <row r="92" spans="1:11" ht="15" customHeight="1" x14ac:dyDescent="0.25">
      <c r="A92">
        <v>2017</v>
      </c>
      <c r="B92">
        <v>49</v>
      </c>
      <c r="C92" t="s">
        <v>23</v>
      </c>
      <c r="D92" t="s">
        <v>292</v>
      </c>
      <c r="E92" s="6">
        <f t="shared" ca="1" si="5"/>
        <v>68.611104624820655</v>
      </c>
      <c r="I92" t="s">
        <v>97</v>
      </c>
      <c r="J92">
        <f>J74+1</f>
        <v>8</v>
      </c>
      <c r="K92" s="6">
        <f ca="1">INDIRECT(CONCATENATE("'P Fertilizer Rate'!",I92,J92))</f>
        <v>68.611104624820655</v>
      </c>
    </row>
    <row r="93" spans="1:11" ht="15" customHeight="1" x14ac:dyDescent="0.25">
      <c r="K93" s="6" t="e">
        <f t="shared" ca="1" si="4"/>
        <v>#REF!</v>
      </c>
    </row>
    <row r="94" spans="1:11" ht="15" customHeight="1" x14ac:dyDescent="0.25">
      <c r="A94">
        <v>2017</v>
      </c>
      <c r="B94">
        <v>49</v>
      </c>
      <c r="C94" t="s">
        <v>23</v>
      </c>
      <c r="D94" t="s">
        <v>293</v>
      </c>
      <c r="E94" s="6">
        <f t="shared" ca="1" si="5"/>
        <v>68.611104624820655</v>
      </c>
      <c r="I94" t="s">
        <v>97</v>
      </c>
      <c r="J94">
        <f>J76+1</f>
        <v>8</v>
      </c>
      <c r="K94" s="6">
        <f t="shared" ca="1" si="4"/>
        <v>68.611104624820655</v>
      </c>
    </row>
    <row r="95" spans="1:11" ht="15" customHeight="1" x14ac:dyDescent="0.25">
      <c r="K95" s="6" t="e">
        <f t="shared" ca="1" si="4"/>
        <v>#REF!</v>
      </c>
    </row>
    <row r="96" spans="1:11" ht="15" customHeight="1" x14ac:dyDescent="0.25">
      <c r="A96">
        <v>2017</v>
      </c>
      <c r="B96">
        <v>49</v>
      </c>
      <c r="C96" t="s">
        <v>23</v>
      </c>
      <c r="D96" t="s">
        <v>294</v>
      </c>
      <c r="E96" s="6">
        <f t="shared" ca="1" si="5"/>
        <v>68.611104624820655</v>
      </c>
      <c r="I96" t="s">
        <v>97</v>
      </c>
      <c r="J96">
        <f>J78+1</f>
        <v>8</v>
      </c>
      <c r="K96" s="6">
        <f t="shared" ca="1" si="4"/>
        <v>68.611104624820655</v>
      </c>
    </row>
    <row r="97" spans="1:11" ht="15" customHeight="1" x14ac:dyDescent="0.25">
      <c r="K97" s="6" t="e">
        <f t="shared" ca="1" si="4"/>
        <v>#REF!</v>
      </c>
    </row>
    <row r="98" spans="1:11" ht="15" customHeight="1" x14ac:dyDescent="0.25">
      <c r="A98">
        <v>2017</v>
      </c>
      <c r="B98">
        <v>49</v>
      </c>
      <c r="C98" t="s">
        <v>23</v>
      </c>
      <c r="D98" t="s">
        <v>74</v>
      </c>
      <c r="E98" s="6">
        <f t="shared" ca="1" si="5"/>
        <v>54.888883699856528</v>
      </c>
      <c r="I98" t="s">
        <v>98</v>
      </c>
      <c r="J98">
        <f>J80+1</f>
        <v>8</v>
      </c>
      <c r="K98" s="6">
        <f t="shared" ca="1" si="4"/>
        <v>54.888883699856528</v>
      </c>
    </row>
    <row r="99" spans="1:11" ht="15" customHeight="1" x14ac:dyDescent="0.25">
      <c r="K99" s="6" t="e">
        <f t="shared" ca="1" si="4"/>
        <v>#REF!</v>
      </c>
    </row>
    <row r="100" spans="1:11" ht="15" customHeight="1" x14ac:dyDescent="0.25">
      <c r="A100">
        <v>2017</v>
      </c>
      <c r="B100">
        <v>49</v>
      </c>
      <c r="C100" t="s">
        <v>23</v>
      </c>
      <c r="D100" t="s">
        <v>75</v>
      </c>
      <c r="E100" s="6">
        <f t="shared" ca="1" si="5"/>
        <v>54.888883699856528</v>
      </c>
      <c r="I100" t="s">
        <v>98</v>
      </c>
      <c r="J100">
        <f>J82+1</f>
        <v>8</v>
      </c>
      <c r="K100" s="6">
        <f t="shared" ca="1" si="4"/>
        <v>54.888883699856528</v>
      </c>
    </row>
    <row r="101" spans="1:11" ht="15" customHeight="1" x14ac:dyDescent="0.25">
      <c r="K101" s="6" t="e">
        <f t="shared" ca="1" si="4"/>
        <v>#REF!</v>
      </c>
    </row>
    <row r="102" spans="1:11" ht="15" customHeight="1" x14ac:dyDescent="0.25">
      <c r="A102">
        <v>2017</v>
      </c>
      <c r="B102">
        <v>49</v>
      </c>
      <c r="C102" t="s">
        <v>23</v>
      </c>
      <c r="D102" t="s">
        <v>76</v>
      </c>
      <c r="E102" s="6">
        <f t="shared" ca="1" si="5"/>
        <v>54.888883699856528</v>
      </c>
      <c r="I102" t="s">
        <v>98</v>
      </c>
      <c r="J102">
        <f>J84+1</f>
        <v>8</v>
      </c>
      <c r="K102" s="6">
        <f t="shared" ca="1" si="4"/>
        <v>54.888883699856528</v>
      </c>
    </row>
    <row r="103" spans="1:11" ht="15" customHeight="1" x14ac:dyDescent="0.25">
      <c r="K103" s="6" t="e">
        <f t="shared" ca="1" si="4"/>
        <v>#REF!</v>
      </c>
    </row>
    <row r="104" spans="1:11" ht="15" customHeight="1" x14ac:dyDescent="0.25">
      <c r="A104">
        <v>2017</v>
      </c>
      <c r="B104">
        <v>49</v>
      </c>
      <c r="C104" t="s">
        <v>23</v>
      </c>
      <c r="D104" t="s">
        <v>77</v>
      </c>
      <c r="E104" s="6">
        <f t="shared" ca="1" si="5"/>
        <v>20</v>
      </c>
      <c r="I104" t="s">
        <v>99</v>
      </c>
      <c r="J104">
        <f>J86+1</f>
        <v>8</v>
      </c>
      <c r="K104" s="6">
        <f t="shared" ca="1" si="4"/>
        <v>20</v>
      </c>
    </row>
    <row r="105" spans="1:11" ht="15" customHeight="1" x14ac:dyDescent="0.25">
      <c r="K105" s="6" t="e">
        <f t="shared" ca="1" si="4"/>
        <v>#REF!</v>
      </c>
    </row>
    <row r="106" spans="1:11" ht="15" customHeight="1" x14ac:dyDescent="0.25">
      <c r="A106">
        <v>2017</v>
      </c>
      <c r="B106">
        <v>49</v>
      </c>
      <c r="C106" t="s">
        <v>23</v>
      </c>
      <c r="D106" t="s">
        <v>78</v>
      </c>
      <c r="E106" s="6">
        <f t="shared" ca="1" si="5"/>
        <v>20</v>
      </c>
      <c r="I106" t="s">
        <v>99</v>
      </c>
      <c r="J106">
        <f>J88+1</f>
        <v>8</v>
      </c>
      <c r="K106" s="6">
        <f t="shared" ca="1" si="4"/>
        <v>20</v>
      </c>
    </row>
    <row r="107" spans="1:11" ht="15" customHeight="1" x14ac:dyDescent="0.25">
      <c r="K107" s="6" t="e">
        <f t="shared" ca="1" si="4"/>
        <v>#REF!</v>
      </c>
    </row>
    <row r="108" spans="1:11" ht="15" customHeight="1" x14ac:dyDescent="0.25">
      <c r="A108">
        <v>2017</v>
      </c>
      <c r="B108">
        <v>49</v>
      </c>
      <c r="C108" t="s">
        <v>23</v>
      </c>
      <c r="D108" t="s">
        <v>79</v>
      </c>
      <c r="E108" s="6">
        <f t="shared" ca="1" si="5"/>
        <v>20</v>
      </c>
      <c r="I108" t="s">
        <v>99</v>
      </c>
      <c r="J108">
        <f>J90+1</f>
        <v>8</v>
      </c>
      <c r="K108" s="6">
        <f t="shared" ca="1" si="4"/>
        <v>20</v>
      </c>
    </row>
    <row r="110" spans="1:11" ht="15" customHeight="1" x14ac:dyDescent="0.25">
      <c r="A110">
        <v>2017</v>
      </c>
      <c r="B110">
        <v>37</v>
      </c>
      <c r="C110" t="s">
        <v>88</v>
      </c>
      <c r="D110" t="s">
        <v>292</v>
      </c>
      <c r="E110" s="6">
        <f t="shared" ca="1" si="5"/>
        <v>87.931611261293796</v>
      </c>
      <c r="I110" t="s">
        <v>97</v>
      </c>
      <c r="J110">
        <f>J92+1</f>
        <v>9</v>
      </c>
      <c r="K110" s="6">
        <f t="shared" ref="K110:K162" ca="1" si="6">INDIRECT(CONCATENATE("'P Fertilizer Rate'!",I110,J110))</f>
        <v>87.931611261293796</v>
      </c>
    </row>
    <row r="111" spans="1:11" ht="15" customHeight="1" x14ac:dyDescent="0.25">
      <c r="K111" s="6" t="e">
        <f t="shared" ca="1" si="6"/>
        <v>#REF!</v>
      </c>
    </row>
    <row r="112" spans="1:11" ht="15" customHeight="1" x14ac:dyDescent="0.25">
      <c r="A112">
        <v>2017</v>
      </c>
      <c r="B112">
        <v>37</v>
      </c>
      <c r="C112" t="s">
        <v>88</v>
      </c>
      <c r="D112" t="s">
        <v>293</v>
      </c>
      <c r="E112" s="6">
        <f t="shared" ca="1" si="5"/>
        <v>87.931611261293796</v>
      </c>
      <c r="I112" t="s">
        <v>97</v>
      </c>
      <c r="J112">
        <f>J94+1</f>
        <v>9</v>
      </c>
      <c r="K112" s="6">
        <f t="shared" ca="1" si="6"/>
        <v>87.931611261293796</v>
      </c>
    </row>
    <row r="113" spans="1:11" ht="15" customHeight="1" x14ac:dyDescent="0.25">
      <c r="K113" s="6" t="e">
        <f t="shared" ca="1" si="6"/>
        <v>#REF!</v>
      </c>
    </row>
    <row r="114" spans="1:11" ht="15" customHeight="1" x14ac:dyDescent="0.25">
      <c r="A114">
        <v>2017</v>
      </c>
      <c r="B114">
        <v>37</v>
      </c>
      <c r="C114" t="s">
        <v>88</v>
      </c>
      <c r="D114" t="s">
        <v>294</v>
      </c>
      <c r="E114" s="6">
        <f t="shared" ca="1" si="5"/>
        <v>87.931611261293796</v>
      </c>
      <c r="I114" t="s">
        <v>97</v>
      </c>
      <c r="J114">
        <f>J96+1</f>
        <v>9</v>
      </c>
      <c r="K114" s="6">
        <f t="shared" ca="1" si="6"/>
        <v>87.931611261293796</v>
      </c>
    </row>
    <row r="115" spans="1:11" ht="15" customHeight="1" x14ac:dyDescent="0.25">
      <c r="K115" s="6" t="e">
        <f t="shared" ca="1" si="6"/>
        <v>#REF!</v>
      </c>
    </row>
    <row r="116" spans="1:11" ht="15" customHeight="1" x14ac:dyDescent="0.25">
      <c r="A116">
        <v>2017</v>
      </c>
      <c r="B116">
        <v>37</v>
      </c>
      <c r="C116" t="s">
        <v>88</v>
      </c>
      <c r="D116" t="s">
        <v>74</v>
      </c>
      <c r="E116" s="6">
        <f t="shared" ca="1" si="5"/>
        <v>70.345289009035042</v>
      </c>
      <c r="I116" t="s">
        <v>98</v>
      </c>
      <c r="J116">
        <f>J98+1</f>
        <v>9</v>
      </c>
      <c r="K116" s="6">
        <f t="shared" ca="1" si="6"/>
        <v>70.345289009035042</v>
      </c>
    </row>
    <row r="117" spans="1:11" ht="15" customHeight="1" x14ac:dyDescent="0.25">
      <c r="K117" s="6" t="e">
        <f t="shared" ca="1" si="6"/>
        <v>#REF!</v>
      </c>
    </row>
    <row r="118" spans="1:11" ht="15" customHeight="1" x14ac:dyDescent="0.25">
      <c r="A118">
        <v>2017</v>
      </c>
      <c r="B118">
        <v>37</v>
      </c>
      <c r="C118" t="s">
        <v>88</v>
      </c>
      <c r="D118" t="s">
        <v>75</v>
      </c>
      <c r="E118" s="6">
        <f t="shared" ca="1" si="5"/>
        <v>70.345289009035042</v>
      </c>
      <c r="I118" t="s">
        <v>98</v>
      </c>
      <c r="J118">
        <f>J100+1</f>
        <v>9</v>
      </c>
      <c r="K118" s="6">
        <f t="shared" ca="1" si="6"/>
        <v>70.345289009035042</v>
      </c>
    </row>
    <row r="119" spans="1:11" ht="15" customHeight="1" x14ac:dyDescent="0.25">
      <c r="K119" s="6" t="e">
        <f t="shared" ca="1" si="6"/>
        <v>#REF!</v>
      </c>
    </row>
    <row r="120" spans="1:11" ht="15" customHeight="1" x14ac:dyDescent="0.25">
      <c r="A120">
        <v>2017</v>
      </c>
      <c r="B120">
        <v>37</v>
      </c>
      <c r="C120" t="s">
        <v>88</v>
      </c>
      <c r="D120" t="s">
        <v>76</v>
      </c>
      <c r="E120" s="6">
        <f t="shared" ca="1" si="5"/>
        <v>70.345289009035042</v>
      </c>
      <c r="I120" t="s">
        <v>98</v>
      </c>
      <c r="J120">
        <f>J102+1</f>
        <v>9</v>
      </c>
      <c r="K120" s="6">
        <f t="shared" ca="1" si="6"/>
        <v>70.345289009035042</v>
      </c>
    </row>
    <row r="121" spans="1:11" ht="15" customHeight="1" x14ac:dyDescent="0.25">
      <c r="K121" s="6" t="e">
        <f t="shared" ca="1" si="6"/>
        <v>#REF!</v>
      </c>
    </row>
    <row r="122" spans="1:11" ht="15" customHeight="1" x14ac:dyDescent="0.25">
      <c r="A122">
        <v>2017</v>
      </c>
      <c r="B122">
        <v>37</v>
      </c>
      <c r="C122" t="s">
        <v>88</v>
      </c>
      <c r="D122" t="s">
        <v>77</v>
      </c>
      <c r="E122" s="6">
        <f t="shared" ca="1" si="5"/>
        <v>20</v>
      </c>
      <c r="I122" t="s">
        <v>99</v>
      </c>
      <c r="J122">
        <f>J104+1</f>
        <v>9</v>
      </c>
      <c r="K122" s="6">
        <f t="shared" ca="1" si="6"/>
        <v>20</v>
      </c>
    </row>
    <row r="123" spans="1:11" ht="15" customHeight="1" x14ac:dyDescent="0.25">
      <c r="K123" s="6" t="e">
        <f t="shared" ca="1" si="6"/>
        <v>#REF!</v>
      </c>
    </row>
    <row r="124" spans="1:11" ht="15" customHeight="1" x14ac:dyDescent="0.25">
      <c r="A124">
        <v>2017</v>
      </c>
      <c r="B124">
        <v>37</v>
      </c>
      <c r="C124" t="s">
        <v>88</v>
      </c>
      <c r="D124" t="s">
        <v>78</v>
      </c>
      <c r="E124" s="6">
        <f t="shared" ca="1" si="5"/>
        <v>20</v>
      </c>
      <c r="I124" t="s">
        <v>99</v>
      </c>
      <c r="J124">
        <f>J106+1</f>
        <v>9</v>
      </c>
      <c r="K124" s="6">
        <f t="shared" ca="1" si="6"/>
        <v>20</v>
      </c>
    </row>
    <row r="125" spans="1:11" ht="15" customHeight="1" x14ac:dyDescent="0.25">
      <c r="K125" s="6" t="e">
        <f t="shared" ca="1" si="6"/>
        <v>#REF!</v>
      </c>
    </row>
    <row r="126" spans="1:11" ht="15" customHeight="1" x14ac:dyDescent="0.25">
      <c r="A126">
        <v>2017</v>
      </c>
      <c r="B126">
        <v>37</v>
      </c>
      <c r="C126" t="s">
        <v>88</v>
      </c>
      <c r="D126" t="s">
        <v>79</v>
      </c>
      <c r="E126" s="6">
        <f t="shared" ca="1" si="5"/>
        <v>20</v>
      </c>
      <c r="I126" t="s">
        <v>99</v>
      </c>
      <c r="J126">
        <f>J108+1</f>
        <v>9</v>
      </c>
      <c r="K126" s="6">
        <f t="shared" ca="1" si="6"/>
        <v>20</v>
      </c>
    </row>
    <row r="128" spans="1:11" ht="15" customHeight="1" x14ac:dyDescent="0.25">
      <c r="A128">
        <v>2017</v>
      </c>
      <c r="B128">
        <v>75</v>
      </c>
      <c r="C128" t="s">
        <v>89</v>
      </c>
      <c r="D128" t="s">
        <v>292</v>
      </c>
      <c r="E128" s="6">
        <f t="shared" ca="1" si="5"/>
        <v>95.842827130197392</v>
      </c>
      <c r="I128" t="s">
        <v>97</v>
      </c>
      <c r="J128">
        <f>J110+1</f>
        <v>10</v>
      </c>
      <c r="K128" s="6">
        <f t="shared" ref="K128:K180" ca="1" si="7">INDIRECT(CONCATENATE("'P Fertilizer Rate'!",I128,J128))</f>
        <v>95.842827130197392</v>
      </c>
    </row>
    <row r="129" spans="1:11" ht="15" customHeight="1" x14ac:dyDescent="0.25">
      <c r="K129" s="6" t="e">
        <f t="shared" ca="1" si="7"/>
        <v>#REF!</v>
      </c>
    </row>
    <row r="130" spans="1:11" ht="15" customHeight="1" x14ac:dyDescent="0.25">
      <c r="A130">
        <v>2017</v>
      </c>
      <c r="B130">
        <v>75</v>
      </c>
      <c r="C130" t="s">
        <v>89</v>
      </c>
      <c r="D130" t="s">
        <v>293</v>
      </c>
      <c r="E130" s="6">
        <f t="shared" ca="1" si="5"/>
        <v>95.842827130197392</v>
      </c>
      <c r="I130" t="s">
        <v>97</v>
      </c>
      <c r="J130">
        <f>J112+1</f>
        <v>10</v>
      </c>
      <c r="K130" s="6">
        <f t="shared" ca="1" si="7"/>
        <v>95.842827130197392</v>
      </c>
    </row>
    <row r="131" spans="1:11" ht="15" customHeight="1" x14ac:dyDescent="0.25">
      <c r="K131" s="6" t="e">
        <f t="shared" ca="1" si="7"/>
        <v>#REF!</v>
      </c>
    </row>
    <row r="132" spans="1:11" ht="15" customHeight="1" x14ac:dyDescent="0.25">
      <c r="A132">
        <v>2017</v>
      </c>
      <c r="B132">
        <v>75</v>
      </c>
      <c r="C132" t="s">
        <v>89</v>
      </c>
      <c r="D132" t="s">
        <v>294</v>
      </c>
      <c r="E132" s="6">
        <f t="shared" ca="1" si="5"/>
        <v>95.842827130197392</v>
      </c>
      <c r="I132" t="s">
        <v>97</v>
      </c>
      <c r="J132">
        <f>J114+1</f>
        <v>10</v>
      </c>
      <c r="K132" s="6">
        <f t="shared" ca="1" si="7"/>
        <v>95.842827130197392</v>
      </c>
    </row>
    <row r="133" spans="1:11" ht="15" customHeight="1" x14ac:dyDescent="0.25">
      <c r="K133" s="6" t="e">
        <f t="shared" ca="1" si="7"/>
        <v>#REF!</v>
      </c>
    </row>
    <row r="134" spans="1:11" ht="15" customHeight="1" x14ac:dyDescent="0.25">
      <c r="A134">
        <v>2017</v>
      </c>
      <c r="B134">
        <v>75</v>
      </c>
      <c r="C134" t="s">
        <v>89</v>
      </c>
      <c r="D134" t="s">
        <v>74</v>
      </c>
      <c r="E134" s="6">
        <f t="shared" ca="1" si="5"/>
        <v>76.674261704157914</v>
      </c>
      <c r="I134" t="s">
        <v>98</v>
      </c>
      <c r="J134">
        <f>J116+1</f>
        <v>10</v>
      </c>
      <c r="K134" s="6">
        <f t="shared" ca="1" si="7"/>
        <v>76.674261704157914</v>
      </c>
    </row>
    <row r="135" spans="1:11" ht="15" customHeight="1" x14ac:dyDescent="0.25">
      <c r="K135" s="6" t="e">
        <f t="shared" ca="1" si="7"/>
        <v>#REF!</v>
      </c>
    </row>
    <row r="136" spans="1:11" ht="15" customHeight="1" x14ac:dyDescent="0.25">
      <c r="A136">
        <v>2017</v>
      </c>
      <c r="B136">
        <v>75</v>
      </c>
      <c r="C136" t="s">
        <v>89</v>
      </c>
      <c r="D136" t="s">
        <v>75</v>
      </c>
      <c r="E136" s="6">
        <f t="shared" ca="1" si="5"/>
        <v>76.674261704157914</v>
      </c>
      <c r="I136" t="s">
        <v>98</v>
      </c>
      <c r="J136">
        <f>J118+1</f>
        <v>10</v>
      </c>
      <c r="K136" s="6">
        <f t="shared" ca="1" si="7"/>
        <v>76.674261704157914</v>
      </c>
    </row>
    <row r="137" spans="1:11" ht="15" customHeight="1" x14ac:dyDescent="0.25">
      <c r="K137" s="6" t="e">
        <f t="shared" ca="1" si="7"/>
        <v>#REF!</v>
      </c>
    </row>
    <row r="138" spans="1:11" ht="15" customHeight="1" x14ac:dyDescent="0.25">
      <c r="A138">
        <v>2017</v>
      </c>
      <c r="B138">
        <v>75</v>
      </c>
      <c r="C138" t="s">
        <v>89</v>
      </c>
      <c r="D138" t="s">
        <v>76</v>
      </c>
      <c r="E138" s="6">
        <f t="shared" ca="1" si="5"/>
        <v>76.674261704157914</v>
      </c>
      <c r="I138" t="s">
        <v>98</v>
      </c>
      <c r="J138">
        <f>J120+1</f>
        <v>10</v>
      </c>
      <c r="K138" s="6">
        <f t="shared" ca="1" si="7"/>
        <v>76.674261704157914</v>
      </c>
    </row>
    <row r="139" spans="1:11" ht="15" customHeight="1" x14ac:dyDescent="0.25">
      <c r="K139" s="6" t="e">
        <f t="shared" ca="1" si="7"/>
        <v>#REF!</v>
      </c>
    </row>
    <row r="140" spans="1:11" ht="15" customHeight="1" x14ac:dyDescent="0.25">
      <c r="A140">
        <v>2017</v>
      </c>
      <c r="B140">
        <v>75</v>
      </c>
      <c r="C140" t="s">
        <v>89</v>
      </c>
      <c r="D140" t="s">
        <v>77</v>
      </c>
      <c r="E140" s="6">
        <f t="shared" ca="1" si="5"/>
        <v>20</v>
      </c>
      <c r="I140" t="s">
        <v>99</v>
      </c>
      <c r="J140">
        <f>J122+1</f>
        <v>10</v>
      </c>
      <c r="K140" s="6">
        <f t="shared" ca="1" si="7"/>
        <v>20</v>
      </c>
    </row>
    <row r="141" spans="1:11" ht="15" customHeight="1" x14ac:dyDescent="0.25">
      <c r="K141" s="6" t="e">
        <f t="shared" ca="1" si="7"/>
        <v>#REF!</v>
      </c>
    </row>
    <row r="142" spans="1:11" ht="15" customHeight="1" x14ac:dyDescent="0.25">
      <c r="A142">
        <v>2017</v>
      </c>
      <c r="B142">
        <v>75</v>
      </c>
      <c r="C142" t="s">
        <v>89</v>
      </c>
      <c r="D142" t="s">
        <v>78</v>
      </c>
      <c r="E142" s="6">
        <f t="shared" ca="1" si="5"/>
        <v>20</v>
      </c>
      <c r="I142" t="s">
        <v>99</v>
      </c>
      <c r="J142">
        <f>J124+1</f>
        <v>10</v>
      </c>
      <c r="K142" s="6">
        <f t="shared" ca="1" si="7"/>
        <v>20</v>
      </c>
    </row>
    <row r="143" spans="1:11" ht="15" customHeight="1" x14ac:dyDescent="0.25">
      <c r="K143" s="6" t="e">
        <f t="shared" ca="1" si="7"/>
        <v>#REF!</v>
      </c>
    </row>
    <row r="144" spans="1:11" ht="15" customHeight="1" x14ac:dyDescent="0.25">
      <c r="A144">
        <v>2017</v>
      </c>
      <c r="B144">
        <v>75</v>
      </c>
      <c r="C144" t="s">
        <v>89</v>
      </c>
      <c r="D144" t="s">
        <v>79</v>
      </c>
      <c r="E144" s="6">
        <f t="shared" ca="1" si="5"/>
        <v>20</v>
      </c>
      <c r="I144" t="s">
        <v>99</v>
      </c>
      <c r="J144">
        <f>J126+1</f>
        <v>10</v>
      </c>
      <c r="K144" s="6">
        <f t="shared" ca="1" si="7"/>
        <v>20</v>
      </c>
    </row>
    <row r="146" spans="1:11" ht="15" customHeight="1" x14ac:dyDescent="0.25">
      <c r="A146">
        <v>2017</v>
      </c>
      <c r="B146">
        <v>3</v>
      </c>
      <c r="C146" t="s">
        <v>26</v>
      </c>
      <c r="D146" t="s">
        <v>292</v>
      </c>
      <c r="E146" s="6">
        <f t="shared" ref="E146:E208" ca="1" si="8">K146</f>
        <v>80.575610348656213</v>
      </c>
      <c r="I146" t="s">
        <v>97</v>
      </c>
      <c r="J146">
        <f>J128+1</f>
        <v>11</v>
      </c>
      <c r="K146" s="6">
        <f ca="1">INDIRECT(CONCATENATE("'P Fertilizer Rate'!",I146,J146))</f>
        <v>80.575610348656213</v>
      </c>
    </row>
    <row r="147" spans="1:11" ht="15" customHeight="1" x14ac:dyDescent="0.25">
      <c r="K147" s="6" t="e">
        <f t="shared" ca="1" si="6"/>
        <v>#REF!</v>
      </c>
    </row>
    <row r="148" spans="1:11" ht="15" customHeight="1" x14ac:dyDescent="0.25">
      <c r="A148">
        <v>2017</v>
      </c>
      <c r="B148">
        <v>3</v>
      </c>
      <c r="C148" t="s">
        <v>26</v>
      </c>
      <c r="D148" t="s">
        <v>293</v>
      </c>
      <c r="E148" s="6">
        <f t="shared" ca="1" si="8"/>
        <v>80.575610348656213</v>
      </c>
      <c r="I148" t="s">
        <v>97</v>
      </c>
      <c r="J148">
        <f>J130+1</f>
        <v>11</v>
      </c>
      <c r="K148" s="6">
        <f t="shared" ca="1" si="6"/>
        <v>80.575610348656213</v>
      </c>
    </row>
    <row r="149" spans="1:11" ht="15" customHeight="1" x14ac:dyDescent="0.25">
      <c r="K149" s="6" t="e">
        <f t="shared" ca="1" si="6"/>
        <v>#REF!</v>
      </c>
    </row>
    <row r="150" spans="1:11" ht="15" customHeight="1" x14ac:dyDescent="0.25">
      <c r="A150">
        <v>2017</v>
      </c>
      <c r="B150">
        <v>3</v>
      </c>
      <c r="C150" t="s">
        <v>26</v>
      </c>
      <c r="D150" t="s">
        <v>294</v>
      </c>
      <c r="E150" s="6">
        <f t="shared" ca="1" si="8"/>
        <v>80.575610348656213</v>
      </c>
      <c r="I150" t="s">
        <v>97</v>
      </c>
      <c r="J150">
        <f>J132+1</f>
        <v>11</v>
      </c>
      <c r="K150" s="6">
        <f t="shared" ca="1" si="6"/>
        <v>80.575610348656213</v>
      </c>
    </row>
    <row r="151" spans="1:11" ht="15" customHeight="1" x14ac:dyDescent="0.25">
      <c r="K151" s="6" t="e">
        <f t="shared" ca="1" si="6"/>
        <v>#REF!</v>
      </c>
    </row>
    <row r="152" spans="1:11" ht="15" customHeight="1" x14ac:dyDescent="0.25">
      <c r="A152">
        <v>2017</v>
      </c>
      <c r="B152">
        <v>3</v>
      </c>
      <c r="C152" t="s">
        <v>26</v>
      </c>
      <c r="D152" t="s">
        <v>74</v>
      </c>
      <c r="E152" s="6">
        <f t="shared" ca="1" si="8"/>
        <v>64.46048827892497</v>
      </c>
      <c r="I152" t="s">
        <v>98</v>
      </c>
      <c r="J152">
        <f>J134+1</f>
        <v>11</v>
      </c>
      <c r="K152" s="6">
        <f t="shared" ca="1" si="6"/>
        <v>64.46048827892497</v>
      </c>
    </row>
    <row r="153" spans="1:11" ht="15" customHeight="1" x14ac:dyDescent="0.25">
      <c r="K153" s="6" t="e">
        <f t="shared" ca="1" si="6"/>
        <v>#REF!</v>
      </c>
    </row>
    <row r="154" spans="1:11" ht="15" customHeight="1" x14ac:dyDescent="0.25">
      <c r="A154">
        <v>2017</v>
      </c>
      <c r="B154">
        <v>3</v>
      </c>
      <c r="C154" t="s">
        <v>26</v>
      </c>
      <c r="D154" t="s">
        <v>75</v>
      </c>
      <c r="E154" s="6">
        <f t="shared" ca="1" si="8"/>
        <v>64.46048827892497</v>
      </c>
      <c r="I154" t="s">
        <v>98</v>
      </c>
      <c r="J154">
        <f>J136+1</f>
        <v>11</v>
      </c>
      <c r="K154" s="6">
        <f t="shared" ca="1" si="6"/>
        <v>64.46048827892497</v>
      </c>
    </row>
    <row r="155" spans="1:11" ht="15" customHeight="1" x14ac:dyDescent="0.25">
      <c r="K155" s="6" t="e">
        <f t="shared" ca="1" si="6"/>
        <v>#REF!</v>
      </c>
    </row>
    <row r="156" spans="1:11" ht="15" customHeight="1" x14ac:dyDescent="0.25">
      <c r="A156">
        <v>2017</v>
      </c>
      <c r="B156">
        <v>3</v>
      </c>
      <c r="C156" t="s">
        <v>26</v>
      </c>
      <c r="D156" t="s">
        <v>76</v>
      </c>
      <c r="E156" s="6">
        <f t="shared" ca="1" si="8"/>
        <v>64.46048827892497</v>
      </c>
      <c r="I156" t="s">
        <v>98</v>
      </c>
      <c r="J156">
        <f>J138+1</f>
        <v>11</v>
      </c>
      <c r="K156" s="6">
        <f t="shared" ca="1" si="6"/>
        <v>64.46048827892497</v>
      </c>
    </row>
    <row r="157" spans="1:11" ht="15" customHeight="1" x14ac:dyDescent="0.25">
      <c r="K157" s="6" t="e">
        <f t="shared" ca="1" si="6"/>
        <v>#REF!</v>
      </c>
    </row>
    <row r="158" spans="1:11" ht="15" customHeight="1" x14ac:dyDescent="0.25">
      <c r="A158">
        <v>2017</v>
      </c>
      <c r="B158">
        <v>3</v>
      </c>
      <c r="C158" t="s">
        <v>26</v>
      </c>
      <c r="D158" t="s">
        <v>77</v>
      </c>
      <c r="E158" s="6">
        <f t="shared" ca="1" si="8"/>
        <v>20</v>
      </c>
      <c r="I158" t="s">
        <v>99</v>
      </c>
      <c r="J158">
        <f>J140+1</f>
        <v>11</v>
      </c>
      <c r="K158" s="6">
        <f t="shared" ca="1" si="6"/>
        <v>20</v>
      </c>
    </row>
    <row r="159" spans="1:11" ht="15" customHeight="1" x14ac:dyDescent="0.25">
      <c r="K159" s="6" t="e">
        <f t="shared" ca="1" si="6"/>
        <v>#REF!</v>
      </c>
    </row>
    <row r="160" spans="1:11" ht="15" customHeight="1" x14ac:dyDescent="0.25">
      <c r="A160">
        <v>2017</v>
      </c>
      <c r="B160">
        <v>3</v>
      </c>
      <c r="C160" t="s">
        <v>26</v>
      </c>
      <c r="D160" t="s">
        <v>78</v>
      </c>
      <c r="E160" s="6">
        <f t="shared" ca="1" si="8"/>
        <v>20</v>
      </c>
      <c r="I160" t="s">
        <v>99</v>
      </c>
      <c r="J160">
        <f>J142+1</f>
        <v>11</v>
      </c>
      <c r="K160" s="6">
        <f t="shared" ca="1" si="6"/>
        <v>20</v>
      </c>
    </row>
    <row r="161" spans="1:11" ht="15" customHeight="1" x14ac:dyDescent="0.25">
      <c r="K161" s="6" t="e">
        <f t="shared" ca="1" si="6"/>
        <v>#REF!</v>
      </c>
    </row>
    <row r="162" spans="1:11" ht="15" customHeight="1" x14ac:dyDescent="0.25">
      <c r="A162">
        <v>2017</v>
      </c>
      <c r="B162">
        <v>3</v>
      </c>
      <c r="C162" t="s">
        <v>26</v>
      </c>
      <c r="D162" t="s">
        <v>79</v>
      </c>
      <c r="E162" s="6">
        <f t="shared" ca="1" si="8"/>
        <v>20</v>
      </c>
      <c r="I162" t="s">
        <v>99</v>
      </c>
      <c r="J162">
        <f>J144+1</f>
        <v>11</v>
      </c>
      <c r="K162" s="6">
        <f t="shared" ca="1" si="6"/>
        <v>20</v>
      </c>
    </row>
    <row r="164" spans="1:11" ht="15" customHeight="1" x14ac:dyDescent="0.25">
      <c r="A164">
        <v>2017</v>
      </c>
      <c r="B164">
        <v>67</v>
      </c>
      <c r="C164" t="s">
        <v>27</v>
      </c>
      <c r="D164" t="s">
        <v>292</v>
      </c>
      <c r="E164" s="6">
        <f t="shared" ca="1" si="8"/>
        <v>88.858237675602041</v>
      </c>
      <c r="I164" t="s">
        <v>97</v>
      </c>
      <c r="J164">
        <f>J146+1</f>
        <v>12</v>
      </c>
      <c r="K164" s="6">
        <f ca="1">INDIRECT(CONCATENATE("'P Fertilizer Rate'!",I164,J164))</f>
        <v>88.858237675602041</v>
      </c>
    </row>
    <row r="165" spans="1:11" ht="15" customHeight="1" x14ac:dyDescent="0.25">
      <c r="K165" s="6" t="e">
        <f t="shared" ca="1" si="7"/>
        <v>#REF!</v>
      </c>
    </row>
    <row r="166" spans="1:11" ht="15" customHeight="1" x14ac:dyDescent="0.25">
      <c r="A166">
        <v>2017</v>
      </c>
      <c r="B166">
        <v>67</v>
      </c>
      <c r="C166" t="s">
        <v>27</v>
      </c>
      <c r="D166" t="s">
        <v>293</v>
      </c>
      <c r="E166" s="6">
        <f t="shared" ca="1" si="8"/>
        <v>88.858237675602041</v>
      </c>
      <c r="I166" t="s">
        <v>97</v>
      </c>
      <c r="J166">
        <f>J148+1</f>
        <v>12</v>
      </c>
      <c r="K166" s="6">
        <f t="shared" ca="1" si="7"/>
        <v>88.858237675602041</v>
      </c>
    </row>
    <row r="167" spans="1:11" ht="15" customHeight="1" x14ac:dyDescent="0.25">
      <c r="K167" s="6" t="e">
        <f t="shared" ca="1" si="7"/>
        <v>#REF!</v>
      </c>
    </row>
    <row r="168" spans="1:11" ht="15" customHeight="1" x14ac:dyDescent="0.25">
      <c r="A168">
        <v>2017</v>
      </c>
      <c r="B168">
        <v>67</v>
      </c>
      <c r="C168" t="s">
        <v>27</v>
      </c>
      <c r="D168" t="s">
        <v>294</v>
      </c>
      <c r="E168" s="6">
        <f t="shared" ca="1" si="8"/>
        <v>88.858237675602041</v>
      </c>
      <c r="I168" t="s">
        <v>97</v>
      </c>
      <c r="J168">
        <f>J150+1</f>
        <v>12</v>
      </c>
      <c r="K168" s="6">
        <f t="shared" ca="1" si="7"/>
        <v>88.858237675602041</v>
      </c>
    </row>
    <row r="169" spans="1:11" ht="15" customHeight="1" x14ac:dyDescent="0.25">
      <c r="K169" s="6" t="e">
        <f t="shared" ca="1" si="7"/>
        <v>#REF!</v>
      </c>
    </row>
    <row r="170" spans="1:11" ht="15" customHeight="1" x14ac:dyDescent="0.25">
      <c r="A170">
        <v>2017</v>
      </c>
      <c r="B170">
        <v>67</v>
      </c>
      <c r="C170" t="s">
        <v>27</v>
      </c>
      <c r="D170" t="s">
        <v>74</v>
      </c>
      <c r="E170" s="6">
        <f t="shared" ca="1" si="8"/>
        <v>71.086590140481633</v>
      </c>
      <c r="I170" t="s">
        <v>98</v>
      </c>
      <c r="J170">
        <f>J152+1</f>
        <v>12</v>
      </c>
      <c r="K170" s="6">
        <f t="shared" ca="1" si="7"/>
        <v>71.086590140481633</v>
      </c>
    </row>
    <row r="171" spans="1:11" ht="15" customHeight="1" x14ac:dyDescent="0.25">
      <c r="K171" s="6" t="e">
        <f t="shared" ca="1" si="7"/>
        <v>#REF!</v>
      </c>
    </row>
    <row r="172" spans="1:11" ht="15" customHeight="1" x14ac:dyDescent="0.25">
      <c r="A172">
        <v>2017</v>
      </c>
      <c r="B172">
        <v>67</v>
      </c>
      <c r="C172" t="s">
        <v>27</v>
      </c>
      <c r="D172" t="s">
        <v>75</v>
      </c>
      <c r="E172" s="6">
        <f t="shared" ca="1" si="8"/>
        <v>71.086590140481633</v>
      </c>
      <c r="I172" t="s">
        <v>98</v>
      </c>
      <c r="J172">
        <f>J154+1</f>
        <v>12</v>
      </c>
      <c r="K172" s="6">
        <f t="shared" ca="1" si="7"/>
        <v>71.086590140481633</v>
      </c>
    </row>
    <row r="173" spans="1:11" ht="15" customHeight="1" x14ac:dyDescent="0.25">
      <c r="K173" s="6" t="e">
        <f t="shared" ca="1" si="7"/>
        <v>#REF!</v>
      </c>
    </row>
    <row r="174" spans="1:11" ht="15" customHeight="1" x14ac:dyDescent="0.25">
      <c r="A174">
        <v>2017</v>
      </c>
      <c r="B174">
        <v>67</v>
      </c>
      <c r="C174" t="s">
        <v>27</v>
      </c>
      <c r="D174" t="s">
        <v>76</v>
      </c>
      <c r="E174" s="6">
        <f t="shared" ca="1" si="8"/>
        <v>71.086590140481633</v>
      </c>
      <c r="I174" t="s">
        <v>98</v>
      </c>
      <c r="J174">
        <f>J156+1</f>
        <v>12</v>
      </c>
      <c r="K174" s="6">
        <f t="shared" ca="1" si="7"/>
        <v>71.086590140481633</v>
      </c>
    </row>
    <row r="175" spans="1:11" ht="15" customHeight="1" x14ac:dyDescent="0.25">
      <c r="K175" s="6" t="e">
        <f t="shared" ca="1" si="7"/>
        <v>#REF!</v>
      </c>
    </row>
    <row r="176" spans="1:11" ht="15" customHeight="1" x14ac:dyDescent="0.25">
      <c r="A176">
        <v>2017</v>
      </c>
      <c r="B176">
        <v>67</v>
      </c>
      <c r="C176" t="s">
        <v>27</v>
      </c>
      <c r="D176" t="s">
        <v>77</v>
      </c>
      <c r="E176" s="6">
        <f t="shared" ca="1" si="8"/>
        <v>60</v>
      </c>
      <c r="I176" t="s">
        <v>99</v>
      </c>
      <c r="J176">
        <f>J158+1</f>
        <v>12</v>
      </c>
      <c r="K176" s="6">
        <f t="shared" ca="1" si="7"/>
        <v>60</v>
      </c>
    </row>
    <row r="177" spans="1:11" ht="15" customHeight="1" x14ac:dyDescent="0.25">
      <c r="K177" s="6" t="e">
        <f t="shared" ca="1" si="7"/>
        <v>#REF!</v>
      </c>
    </row>
    <row r="178" spans="1:11" ht="15" customHeight="1" x14ac:dyDescent="0.25">
      <c r="A178">
        <v>2017</v>
      </c>
      <c r="B178">
        <v>67</v>
      </c>
      <c r="C178" t="s">
        <v>27</v>
      </c>
      <c r="D178" t="s">
        <v>78</v>
      </c>
      <c r="E178" s="6">
        <f t="shared" ca="1" si="8"/>
        <v>60</v>
      </c>
      <c r="I178" t="s">
        <v>99</v>
      </c>
      <c r="J178">
        <f>J160+1</f>
        <v>12</v>
      </c>
      <c r="K178" s="6">
        <f t="shared" ca="1" si="7"/>
        <v>60</v>
      </c>
    </row>
    <row r="179" spans="1:11" ht="15" customHeight="1" x14ac:dyDescent="0.25">
      <c r="K179" s="6" t="e">
        <f t="shared" ca="1" si="7"/>
        <v>#REF!</v>
      </c>
    </row>
    <row r="180" spans="1:11" ht="15" customHeight="1" x14ac:dyDescent="0.25">
      <c r="A180">
        <v>2017</v>
      </c>
      <c r="B180">
        <v>67</v>
      </c>
      <c r="C180" t="s">
        <v>27</v>
      </c>
      <c r="D180" t="s">
        <v>79</v>
      </c>
      <c r="E180" s="6">
        <f t="shared" ca="1" si="8"/>
        <v>60</v>
      </c>
      <c r="I180" t="s">
        <v>99</v>
      </c>
      <c r="J180">
        <f>J162+1</f>
        <v>12</v>
      </c>
      <c r="K180" s="6">
        <f t="shared" ca="1" si="7"/>
        <v>60</v>
      </c>
    </row>
    <row r="182" spans="1:11" ht="15" customHeight="1" x14ac:dyDescent="0.25">
      <c r="A182">
        <v>2017</v>
      </c>
      <c r="B182">
        <v>60</v>
      </c>
      <c r="C182" t="s">
        <v>28</v>
      </c>
      <c r="D182" t="s">
        <v>292</v>
      </c>
      <c r="E182" s="6">
        <f t="shared" ca="1" si="8"/>
        <v>60.756146640832881</v>
      </c>
      <c r="I182" t="s">
        <v>97</v>
      </c>
      <c r="J182">
        <f>J164+1</f>
        <v>13</v>
      </c>
      <c r="K182" s="6">
        <f t="shared" ref="K182:K234" ca="1" si="9">INDIRECT(CONCATENATE("'P Fertilizer Rate'!",I182,J182))</f>
        <v>60.756146640832881</v>
      </c>
    </row>
    <row r="183" spans="1:11" ht="15" customHeight="1" x14ac:dyDescent="0.25">
      <c r="K183" s="6" t="e">
        <f t="shared" ca="1" si="9"/>
        <v>#REF!</v>
      </c>
    </row>
    <row r="184" spans="1:11" ht="15" customHeight="1" x14ac:dyDescent="0.25">
      <c r="A184">
        <v>2017</v>
      </c>
      <c r="B184">
        <v>60</v>
      </c>
      <c r="C184" t="s">
        <v>28</v>
      </c>
      <c r="D184" t="s">
        <v>293</v>
      </c>
      <c r="E184" s="6">
        <f t="shared" ca="1" si="8"/>
        <v>60.756146640832881</v>
      </c>
      <c r="I184" t="s">
        <v>97</v>
      </c>
      <c r="J184">
        <f>J166+1</f>
        <v>13</v>
      </c>
      <c r="K184" s="6">
        <f t="shared" ca="1" si="9"/>
        <v>60.756146640832881</v>
      </c>
    </row>
    <row r="185" spans="1:11" ht="15" customHeight="1" x14ac:dyDescent="0.25">
      <c r="K185" s="6" t="e">
        <f t="shared" ca="1" si="9"/>
        <v>#REF!</v>
      </c>
    </row>
    <row r="186" spans="1:11" ht="15" customHeight="1" x14ac:dyDescent="0.25">
      <c r="A186">
        <v>2017</v>
      </c>
      <c r="B186">
        <v>60</v>
      </c>
      <c r="C186" t="s">
        <v>28</v>
      </c>
      <c r="D186" t="s">
        <v>294</v>
      </c>
      <c r="E186" s="6">
        <f t="shared" ca="1" si="8"/>
        <v>60.756146640832881</v>
      </c>
      <c r="I186" t="s">
        <v>97</v>
      </c>
      <c r="J186">
        <f>J168+1</f>
        <v>13</v>
      </c>
      <c r="K186" s="6">
        <f t="shared" ca="1" si="9"/>
        <v>60.756146640832881</v>
      </c>
    </row>
    <row r="187" spans="1:11" ht="15" customHeight="1" x14ac:dyDescent="0.25">
      <c r="K187" s="6" t="e">
        <f t="shared" ca="1" si="9"/>
        <v>#REF!</v>
      </c>
    </row>
    <row r="188" spans="1:11" ht="15" customHeight="1" x14ac:dyDescent="0.25">
      <c r="A188">
        <v>2017</v>
      </c>
      <c r="B188">
        <v>60</v>
      </c>
      <c r="C188" t="s">
        <v>28</v>
      </c>
      <c r="D188" t="s">
        <v>74</v>
      </c>
      <c r="E188" s="6">
        <f t="shared" ca="1" si="8"/>
        <v>48.604917312666302</v>
      </c>
      <c r="I188" t="s">
        <v>98</v>
      </c>
      <c r="J188">
        <f>J170+1</f>
        <v>13</v>
      </c>
      <c r="K188" s="6">
        <f t="shared" ca="1" si="9"/>
        <v>48.604917312666302</v>
      </c>
    </row>
    <row r="189" spans="1:11" ht="15" customHeight="1" x14ac:dyDescent="0.25">
      <c r="K189" s="6" t="e">
        <f t="shared" ca="1" si="9"/>
        <v>#REF!</v>
      </c>
    </row>
    <row r="190" spans="1:11" ht="15" customHeight="1" x14ac:dyDescent="0.25">
      <c r="A190">
        <v>2017</v>
      </c>
      <c r="B190">
        <v>60</v>
      </c>
      <c r="C190" t="s">
        <v>28</v>
      </c>
      <c r="D190" t="s">
        <v>75</v>
      </c>
      <c r="E190" s="6">
        <f t="shared" ca="1" si="8"/>
        <v>48.604917312666302</v>
      </c>
      <c r="I190" t="s">
        <v>98</v>
      </c>
      <c r="J190">
        <f>J172+1</f>
        <v>13</v>
      </c>
      <c r="K190" s="6">
        <f t="shared" ca="1" si="9"/>
        <v>48.604917312666302</v>
      </c>
    </row>
    <row r="191" spans="1:11" ht="15" customHeight="1" x14ac:dyDescent="0.25">
      <c r="K191" s="6" t="e">
        <f t="shared" ca="1" si="9"/>
        <v>#REF!</v>
      </c>
    </row>
    <row r="192" spans="1:11" ht="15" customHeight="1" x14ac:dyDescent="0.25">
      <c r="A192">
        <v>2017</v>
      </c>
      <c r="B192">
        <v>60</v>
      </c>
      <c r="C192" t="s">
        <v>28</v>
      </c>
      <c r="D192" t="s">
        <v>76</v>
      </c>
      <c r="E192" s="6">
        <f t="shared" ca="1" si="8"/>
        <v>48.604917312666302</v>
      </c>
      <c r="I192" t="s">
        <v>98</v>
      </c>
      <c r="J192">
        <f>J174+1</f>
        <v>13</v>
      </c>
      <c r="K192" s="6">
        <f t="shared" ca="1" si="9"/>
        <v>48.604917312666302</v>
      </c>
    </row>
    <row r="193" spans="1:11" ht="15" customHeight="1" x14ac:dyDescent="0.25">
      <c r="K193" s="6" t="e">
        <f t="shared" ca="1" si="9"/>
        <v>#REF!</v>
      </c>
    </row>
    <row r="194" spans="1:11" ht="15" customHeight="1" x14ac:dyDescent="0.25">
      <c r="A194">
        <v>2017</v>
      </c>
      <c r="B194">
        <v>60</v>
      </c>
      <c r="C194" t="s">
        <v>28</v>
      </c>
      <c r="D194" t="s">
        <v>77</v>
      </c>
      <c r="E194" s="6">
        <f t="shared" ca="1" si="8"/>
        <v>20</v>
      </c>
      <c r="I194" t="s">
        <v>99</v>
      </c>
      <c r="J194">
        <f>J176+1</f>
        <v>13</v>
      </c>
      <c r="K194" s="6">
        <f t="shared" ca="1" si="9"/>
        <v>20</v>
      </c>
    </row>
    <row r="195" spans="1:11" ht="15" customHeight="1" x14ac:dyDescent="0.25">
      <c r="K195" s="6" t="e">
        <f t="shared" ca="1" si="9"/>
        <v>#REF!</v>
      </c>
    </row>
    <row r="196" spans="1:11" ht="15" customHeight="1" x14ac:dyDescent="0.25">
      <c r="A196">
        <v>2017</v>
      </c>
      <c r="B196">
        <v>60</v>
      </c>
      <c r="C196" t="s">
        <v>28</v>
      </c>
      <c r="D196" t="s">
        <v>78</v>
      </c>
      <c r="E196" s="6">
        <f t="shared" ca="1" si="8"/>
        <v>20</v>
      </c>
      <c r="I196" t="s">
        <v>99</v>
      </c>
      <c r="J196">
        <f>J178+1</f>
        <v>13</v>
      </c>
      <c r="K196" s="6">
        <f t="shared" ca="1" si="9"/>
        <v>20</v>
      </c>
    </row>
    <row r="197" spans="1:11" ht="15" customHeight="1" x14ac:dyDescent="0.25">
      <c r="K197" s="6" t="e">
        <f t="shared" ca="1" si="9"/>
        <v>#REF!</v>
      </c>
    </row>
    <row r="198" spans="1:11" ht="15" customHeight="1" x14ac:dyDescent="0.25">
      <c r="A198">
        <v>2017</v>
      </c>
      <c r="B198">
        <v>60</v>
      </c>
      <c r="C198" t="s">
        <v>28</v>
      </c>
      <c r="D198" t="s">
        <v>79</v>
      </c>
      <c r="E198" s="6">
        <f t="shared" ca="1" si="8"/>
        <v>20</v>
      </c>
      <c r="I198" t="s">
        <v>99</v>
      </c>
      <c r="J198">
        <f>J180+1</f>
        <v>13</v>
      </c>
      <c r="K198" s="6">
        <f t="shared" ca="1" si="9"/>
        <v>20</v>
      </c>
    </row>
    <row r="200" spans="1:11" ht="15" customHeight="1" x14ac:dyDescent="0.25">
      <c r="A200">
        <v>2017</v>
      </c>
      <c r="B200">
        <v>50</v>
      </c>
      <c r="C200" t="s">
        <v>29</v>
      </c>
      <c r="D200" t="s">
        <v>292</v>
      </c>
      <c r="E200" s="6">
        <f t="shared" ca="1" si="8"/>
        <v>88.650039151629457</v>
      </c>
      <c r="I200" t="s">
        <v>97</v>
      </c>
      <c r="J200">
        <f>J182+1</f>
        <v>14</v>
      </c>
      <c r="K200" s="6">
        <f t="shared" ref="K200:K252" ca="1" si="10">INDIRECT(CONCATENATE("'P Fertilizer Rate'!",I200,J200))</f>
        <v>88.650039151629457</v>
      </c>
    </row>
    <row r="201" spans="1:11" ht="15" customHeight="1" x14ac:dyDescent="0.25">
      <c r="K201" s="6" t="e">
        <f t="shared" ca="1" si="10"/>
        <v>#REF!</v>
      </c>
    </row>
    <row r="202" spans="1:11" ht="15" customHeight="1" x14ac:dyDescent="0.25">
      <c r="A202">
        <v>2017</v>
      </c>
      <c r="B202">
        <v>50</v>
      </c>
      <c r="C202" t="s">
        <v>29</v>
      </c>
      <c r="D202" t="s">
        <v>293</v>
      </c>
      <c r="E202" s="6">
        <f t="shared" ca="1" si="8"/>
        <v>88.650039151629457</v>
      </c>
      <c r="I202" t="s">
        <v>97</v>
      </c>
      <c r="J202">
        <f>J184+1</f>
        <v>14</v>
      </c>
      <c r="K202" s="6">
        <f t="shared" ca="1" si="10"/>
        <v>88.650039151629457</v>
      </c>
    </row>
    <row r="203" spans="1:11" ht="15" customHeight="1" x14ac:dyDescent="0.25">
      <c r="K203" s="6" t="e">
        <f t="shared" ca="1" si="10"/>
        <v>#REF!</v>
      </c>
    </row>
    <row r="204" spans="1:11" ht="15" customHeight="1" x14ac:dyDescent="0.25">
      <c r="A204">
        <v>2017</v>
      </c>
      <c r="B204">
        <v>50</v>
      </c>
      <c r="C204" t="s">
        <v>29</v>
      </c>
      <c r="D204" t="s">
        <v>294</v>
      </c>
      <c r="E204" s="6">
        <f t="shared" ca="1" si="8"/>
        <v>88.650039151629457</v>
      </c>
      <c r="I204" t="s">
        <v>97</v>
      </c>
      <c r="J204">
        <f>J186+1</f>
        <v>14</v>
      </c>
      <c r="K204" s="6">
        <f t="shared" ca="1" si="10"/>
        <v>88.650039151629457</v>
      </c>
    </row>
    <row r="205" spans="1:11" ht="15" customHeight="1" x14ac:dyDescent="0.25">
      <c r="K205" s="6" t="e">
        <f t="shared" ca="1" si="10"/>
        <v>#REF!</v>
      </c>
    </row>
    <row r="206" spans="1:11" ht="15" customHeight="1" x14ac:dyDescent="0.25">
      <c r="A206">
        <v>2017</v>
      </c>
      <c r="B206">
        <v>50</v>
      </c>
      <c r="C206" t="s">
        <v>29</v>
      </c>
      <c r="D206" t="s">
        <v>74</v>
      </c>
      <c r="E206" s="6">
        <f t="shared" ca="1" si="8"/>
        <v>70.920031321303568</v>
      </c>
      <c r="I206" t="s">
        <v>98</v>
      </c>
      <c r="J206">
        <f>J188+1</f>
        <v>14</v>
      </c>
      <c r="K206" s="6">
        <f t="shared" ca="1" si="10"/>
        <v>70.920031321303568</v>
      </c>
    </row>
    <row r="207" spans="1:11" ht="15" customHeight="1" x14ac:dyDescent="0.25">
      <c r="K207" s="6" t="e">
        <f t="shared" ca="1" si="10"/>
        <v>#REF!</v>
      </c>
    </row>
    <row r="208" spans="1:11" ht="15" customHeight="1" x14ac:dyDescent="0.25">
      <c r="A208">
        <v>2017</v>
      </c>
      <c r="B208">
        <v>50</v>
      </c>
      <c r="C208" t="s">
        <v>29</v>
      </c>
      <c r="D208" t="s">
        <v>75</v>
      </c>
      <c r="E208" s="6">
        <f t="shared" ca="1" si="8"/>
        <v>70.920031321303568</v>
      </c>
      <c r="I208" t="s">
        <v>98</v>
      </c>
      <c r="J208">
        <f>J190+1</f>
        <v>14</v>
      </c>
      <c r="K208" s="6">
        <f t="shared" ca="1" si="10"/>
        <v>70.920031321303568</v>
      </c>
    </row>
    <row r="209" spans="1:11" ht="15" customHeight="1" x14ac:dyDescent="0.25">
      <c r="K209" s="6" t="e">
        <f t="shared" ca="1" si="10"/>
        <v>#REF!</v>
      </c>
    </row>
    <row r="210" spans="1:11" ht="15" customHeight="1" x14ac:dyDescent="0.25">
      <c r="A210">
        <v>2017</v>
      </c>
      <c r="B210">
        <v>50</v>
      </c>
      <c r="C210" t="s">
        <v>29</v>
      </c>
      <c r="D210" t="s">
        <v>76</v>
      </c>
      <c r="E210" s="6">
        <f t="shared" ref="E210:E272" ca="1" si="11">K210</f>
        <v>70.920031321303568</v>
      </c>
      <c r="I210" t="s">
        <v>98</v>
      </c>
      <c r="J210">
        <f>J192+1</f>
        <v>14</v>
      </c>
      <c r="K210" s="6">
        <f t="shared" ca="1" si="10"/>
        <v>70.920031321303568</v>
      </c>
    </row>
    <row r="211" spans="1:11" ht="15" customHeight="1" x14ac:dyDescent="0.25">
      <c r="K211" s="6" t="e">
        <f t="shared" ca="1" si="10"/>
        <v>#REF!</v>
      </c>
    </row>
    <row r="212" spans="1:11" ht="15" customHeight="1" x14ac:dyDescent="0.25">
      <c r="A212">
        <v>2017</v>
      </c>
      <c r="B212">
        <v>50</v>
      </c>
      <c r="C212" t="s">
        <v>29</v>
      </c>
      <c r="D212" t="s">
        <v>77</v>
      </c>
      <c r="E212" s="6">
        <f t="shared" ca="1" si="11"/>
        <v>20</v>
      </c>
      <c r="I212" t="s">
        <v>99</v>
      </c>
      <c r="J212">
        <f>J194+1</f>
        <v>14</v>
      </c>
      <c r="K212" s="6">
        <f t="shared" ca="1" si="10"/>
        <v>20</v>
      </c>
    </row>
    <row r="213" spans="1:11" ht="15" customHeight="1" x14ac:dyDescent="0.25">
      <c r="K213" s="6" t="e">
        <f t="shared" ca="1" si="10"/>
        <v>#REF!</v>
      </c>
    </row>
    <row r="214" spans="1:11" ht="15" customHeight="1" x14ac:dyDescent="0.25">
      <c r="A214">
        <v>2017</v>
      </c>
      <c r="B214">
        <v>50</v>
      </c>
      <c r="C214" t="s">
        <v>29</v>
      </c>
      <c r="D214" t="s">
        <v>78</v>
      </c>
      <c r="E214" s="6">
        <f t="shared" ca="1" si="11"/>
        <v>20</v>
      </c>
      <c r="I214" t="s">
        <v>99</v>
      </c>
      <c r="J214">
        <f>J196+1</f>
        <v>14</v>
      </c>
      <c r="K214" s="6">
        <f t="shared" ca="1" si="10"/>
        <v>20</v>
      </c>
    </row>
    <row r="215" spans="1:11" ht="15" customHeight="1" x14ac:dyDescent="0.25">
      <c r="K215" s="6" t="e">
        <f t="shared" ca="1" si="10"/>
        <v>#REF!</v>
      </c>
    </row>
    <row r="216" spans="1:11" ht="15" customHeight="1" x14ac:dyDescent="0.25">
      <c r="A216">
        <v>2017</v>
      </c>
      <c r="B216">
        <v>50</v>
      </c>
      <c r="C216" t="s">
        <v>29</v>
      </c>
      <c r="D216" t="s">
        <v>79</v>
      </c>
      <c r="E216" s="6">
        <f t="shared" ca="1" si="11"/>
        <v>20</v>
      </c>
      <c r="I216" t="s">
        <v>99</v>
      </c>
      <c r="J216">
        <f>J198+1</f>
        <v>14</v>
      </c>
      <c r="K216" s="6">
        <f t="shared" ca="1" si="10"/>
        <v>20</v>
      </c>
    </row>
    <row r="218" spans="1:11" ht="15" customHeight="1" x14ac:dyDescent="0.25">
      <c r="A218">
        <v>2017</v>
      </c>
      <c r="B218">
        <v>43</v>
      </c>
      <c r="C218" t="s">
        <v>30</v>
      </c>
      <c r="D218" t="s">
        <v>292</v>
      </c>
      <c r="E218" s="6">
        <f t="shared" ca="1" si="11"/>
        <v>81.799000780062158</v>
      </c>
      <c r="I218" t="s">
        <v>97</v>
      </c>
      <c r="J218">
        <f>J200+1</f>
        <v>15</v>
      </c>
      <c r="K218" s="6">
        <f ca="1">INDIRECT(CONCATENATE("'P Fertilizer Rate'!",I218,J218))</f>
        <v>81.799000780062158</v>
      </c>
    </row>
    <row r="219" spans="1:11" ht="15" customHeight="1" x14ac:dyDescent="0.25">
      <c r="K219" s="6" t="e">
        <f t="shared" ca="1" si="9"/>
        <v>#REF!</v>
      </c>
    </row>
    <row r="220" spans="1:11" ht="15" customHeight="1" x14ac:dyDescent="0.25">
      <c r="A220">
        <v>2017</v>
      </c>
      <c r="B220">
        <v>43</v>
      </c>
      <c r="C220" t="s">
        <v>30</v>
      </c>
      <c r="D220" t="s">
        <v>293</v>
      </c>
      <c r="E220" s="6">
        <f t="shared" ca="1" si="11"/>
        <v>81.799000780062158</v>
      </c>
      <c r="I220" t="s">
        <v>97</v>
      </c>
      <c r="J220">
        <f>J202+1</f>
        <v>15</v>
      </c>
      <c r="K220" s="6">
        <f t="shared" ca="1" si="9"/>
        <v>81.799000780062158</v>
      </c>
    </row>
    <row r="221" spans="1:11" ht="15" customHeight="1" x14ac:dyDescent="0.25">
      <c r="K221" s="6" t="e">
        <f t="shared" ca="1" si="9"/>
        <v>#REF!</v>
      </c>
    </row>
    <row r="222" spans="1:11" ht="15" customHeight="1" x14ac:dyDescent="0.25">
      <c r="A222">
        <v>2017</v>
      </c>
      <c r="B222">
        <v>43</v>
      </c>
      <c r="C222" t="s">
        <v>30</v>
      </c>
      <c r="D222" t="s">
        <v>294</v>
      </c>
      <c r="E222" s="6">
        <f t="shared" ca="1" si="11"/>
        <v>81.799000780062158</v>
      </c>
      <c r="I222" t="s">
        <v>97</v>
      </c>
      <c r="J222">
        <f>J204+1</f>
        <v>15</v>
      </c>
      <c r="K222" s="6">
        <f t="shared" ca="1" si="9"/>
        <v>81.799000780062158</v>
      </c>
    </row>
    <row r="223" spans="1:11" ht="15" customHeight="1" x14ac:dyDescent="0.25">
      <c r="K223" s="6" t="e">
        <f t="shared" ca="1" si="9"/>
        <v>#REF!</v>
      </c>
    </row>
    <row r="224" spans="1:11" ht="15" customHeight="1" x14ac:dyDescent="0.25">
      <c r="A224">
        <v>2017</v>
      </c>
      <c r="B224">
        <v>43</v>
      </c>
      <c r="C224" t="s">
        <v>30</v>
      </c>
      <c r="D224" t="s">
        <v>74</v>
      </c>
      <c r="E224" s="6">
        <f t="shared" ca="1" si="11"/>
        <v>65.439200624049732</v>
      </c>
      <c r="I224" t="s">
        <v>98</v>
      </c>
      <c r="J224">
        <f>J206+1</f>
        <v>15</v>
      </c>
      <c r="K224" s="6">
        <f t="shared" ca="1" si="9"/>
        <v>65.439200624049732</v>
      </c>
    </row>
    <row r="225" spans="1:11" ht="15" customHeight="1" x14ac:dyDescent="0.25">
      <c r="K225" s="6" t="e">
        <f t="shared" ca="1" si="9"/>
        <v>#REF!</v>
      </c>
    </row>
    <row r="226" spans="1:11" ht="15" customHeight="1" x14ac:dyDescent="0.25">
      <c r="A226">
        <v>2017</v>
      </c>
      <c r="B226">
        <v>43</v>
      </c>
      <c r="C226" t="s">
        <v>30</v>
      </c>
      <c r="D226" t="s">
        <v>75</v>
      </c>
      <c r="E226" s="6">
        <f t="shared" ca="1" si="11"/>
        <v>65.439200624049732</v>
      </c>
      <c r="I226" t="s">
        <v>98</v>
      </c>
      <c r="J226">
        <f>J208+1</f>
        <v>15</v>
      </c>
      <c r="K226" s="6">
        <f t="shared" ca="1" si="9"/>
        <v>65.439200624049732</v>
      </c>
    </row>
    <row r="227" spans="1:11" ht="15" customHeight="1" x14ac:dyDescent="0.25">
      <c r="K227" s="6" t="e">
        <f t="shared" ca="1" si="9"/>
        <v>#REF!</v>
      </c>
    </row>
    <row r="228" spans="1:11" ht="15" customHeight="1" x14ac:dyDescent="0.25">
      <c r="A228">
        <v>2017</v>
      </c>
      <c r="B228">
        <v>43</v>
      </c>
      <c r="C228" t="s">
        <v>30</v>
      </c>
      <c r="D228" t="s">
        <v>76</v>
      </c>
      <c r="E228" s="6">
        <f t="shared" ca="1" si="11"/>
        <v>65.439200624049732</v>
      </c>
      <c r="I228" t="s">
        <v>98</v>
      </c>
      <c r="J228">
        <f>J210+1</f>
        <v>15</v>
      </c>
      <c r="K228" s="6">
        <f t="shared" ca="1" si="9"/>
        <v>65.439200624049732</v>
      </c>
    </row>
    <row r="229" spans="1:11" ht="15" customHeight="1" x14ac:dyDescent="0.25">
      <c r="K229" s="6" t="e">
        <f t="shared" ca="1" si="9"/>
        <v>#REF!</v>
      </c>
    </row>
    <row r="230" spans="1:11" ht="15" customHeight="1" x14ac:dyDescent="0.25">
      <c r="A230">
        <v>2017</v>
      </c>
      <c r="B230">
        <v>43</v>
      </c>
      <c r="C230" t="s">
        <v>30</v>
      </c>
      <c r="D230" t="s">
        <v>77</v>
      </c>
      <c r="E230" s="6">
        <f t="shared" ca="1" si="11"/>
        <v>20</v>
      </c>
      <c r="I230" t="s">
        <v>99</v>
      </c>
      <c r="J230">
        <f>J212+1</f>
        <v>15</v>
      </c>
      <c r="K230" s="6">
        <f t="shared" ca="1" si="9"/>
        <v>20</v>
      </c>
    </row>
    <row r="231" spans="1:11" ht="15" customHeight="1" x14ac:dyDescent="0.25">
      <c r="K231" s="6" t="e">
        <f t="shared" ca="1" si="9"/>
        <v>#REF!</v>
      </c>
    </row>
    <row r="232" spans="1:11" ht="15" customHeight="1" x14ac:dyDescent="0.25">
      <c r="A232">
        <v>2017</v>
      </c>
      <c r="B232">
        <v>43</v>
      </c>
      <c r="C232" t="s">
        <v>30</v>
      </c>
      <c r="D232" t="s">
        <v>78</v>
      </c>
      <c r="E232" s="6">
        <f t="shared" ca="1" si="11"/>
        <v>20</v>
      </c>
      <c r="I232" t="s">
        <v>99</v>
      </c>
      <c r="J232">
        <f>J214+1</f>
        <v>15</v>
      </c>
      <c r="K232" s="6">
        <f t="shared" ca="1" si="9"/>
        <v>20</v>
      </c>
    </row>
    <row r="233" spans="1:11" ht="15" customHeight="1" x14ac:dyDescent="0.25">
      <c r="K233" s="6" t="e">
        <f t="shared" ca="1" si="9"/>
        <v>#REF!</v>
      </c>
    </row>
    <row r="234" spans="1:11" ht="15" customHeight="1" x14ac:dyDescent="0.25">
      <c r="A234">
        <v>2017</v>
      </c>
      <c r="B234">
        <v>43</v>
      </c>
      <c r="C234" t="s">
        <v>30</v>
      </c>
      <c r="D234" t="s">
        <v>79</v>
      </c>
      <c r="E234" s="6">
        <f t="shared" ca="1" si="11"/>
        <v>20</v>
      </c>
      <c r="I234" t="s">
        <v>99</v>
      </c>
      <c r="J234">
        <f>J216+1</f>
        <v>15</v>
      </c>
      <c r="K234" s="6">
        <f t="shared" ca="1" si="9"/>
        <v>20</v>
      </c>
    </row>
    <row r="236" spans="1:11" ht="15" customHeight="1" x14ac:dyDescent="0.25">
      <c r="A236">
        <v>2017</v>
      </c>
      <c r="B236">
        <v>32</v>
      </c>
      <c r="C236" t="s">
        <v>90</v>
      </c>
      <c r="D236" t="s">
        <v>292</v>
      </c>
      <c r="E236" s="6">
        <f t="shared" ca="1" si="11"/>
        <v>21.2441892705112</v>
      </c>
      <c r="I236" t="s">
        <v>97</v>
      </c>
      <c r="J236">
        <f>J218+1</f>
        <v>16</v>
      </c>
      <c r="K236" s="6">
        <f ca="1">INDIRECT(CONCATENATE("'P Fertilizer Rate'!",I236,J236))</f>
        <v>21.2441892705112</v>
      </c>
    </row>
    <row r="237" spans="1:11" ht="15" customHeight="1" x14ac:dyDescent="0.25">
      <c r="K237" s="6" t="e">
        <f t="shared" ca="1" si="10"/>
        <v>#REF!</v>
      </c>
    </row>
    <row r="238" spans="1:11" ht="15" customHeight="1" x14ac:dyDescent="0.25">
      <c r="A238">
        <v>2017</v>
      </c>
      <c r="B238">
        <v>32</v>
      </c>
      <c r="C238" t="s">
        <v>90</v>
      </c>
      <c r="D238" t="s">
        <v>293</v>
      </c>
      <c r="E238" s="6">
        <f t="shared" ca="1" si="11"/>
        <v>21.2441892705112</v>
      </c>
      <c r="I238" t="s">
        <v>97</v>
      </c>
      <c r="J238">
        <f>J220+1</f>
        <v>16</v>
      </c>
      <c r="K238" s="6">
        <f t="shared" ca="1" si="10"/>
        <v>21.2441892705112</v>
      </c>
    </row>
    <row r="239" spans="1:11" ht="15" customHeight="1" x14ac:dyDescent="0.25">
      <c r="K239" s="6" t="e">
        <f t="shared" ca="1" si="10"/>
        <v>#REF!</v>
      </c>
    </row>
    <row r="240" spans="1:11" ht="15" customHeight="1" x14ac:dyDescent="0.25">
      <c r="A240">
        <v>2017</v>
      </c>
      <c r="B240">
        <v>32</v>
      </c>
      <c r="C240" t="s">
        <v>90</v>
      </c>
      <c r="D240" t="s">
        <v>294</v>
      </c>
      <c r="E240" s="6">
        <f t="shared" ca="1" si="11"/>
        <v>21.2441892705112</v>
      </c>
      <c r="I240" t="s">
        <v>97</v>
      </c>
      <c r="J240">
        <f>J222+1</f>
        <v>16</v>
      </c>
      <c r="K240" s="6">
        <f t="shared" ca="1" si="10"/>
        <v>21.2441892705112</v>
      </c>
    </row>
    <row r="241" spans="1:11" ht="15" customHeight="1" x14ac:dyDescent="0.25">
      <c r="K241" s="6" t="e">
        <f t="shared" ca="1" si="10"/>
        <v>#REF!</v>
      </c>
    </row>
    <row r="242" spans="1:11" ht="15" customHeight="1" x14ac:dyDescent="0.25">
      <c r="A242">
        <v>2017</v>
      </c>
      <c r="B242">
        <v>32</v>
      </c>
      <c r="C242" t="s">
        <v>90</v>
      </c>
      <c r="D242" t="s">
        <v>74</v>
      </c>
      <c r="E242" s="6">
        <f t="shared" ca="1" si="11"/>
        <v>16.995351416408958</v>
      </c>
      <c r="I242" t="s">
        <v>98</v>
      </c>
      <c r="J242">
        <f>J224+1</f>
        <v>16</v>
      </c>
      <c r="K242" s="6">
        <f t="shared" ca="1" si="10"/>
        <v>16.995351416408958</v>
      </c>
    </row>
    <row r="243" spans="1:11" ht="15" customHeight="1" x14ac:dyDescent="0.25">
      <c r="K243" s="6" t="e">
        <f t="shared" ca="1" si="10"/>
        <v>#REF!</v>
      </c>
    </row>
    <row r="244" spans="1:11" ht="15" customHeight="1" x14ac:dyDescent="0.25">
      <c r="A244">
        <v>2017</v>
      </c>
      <c r="B244">
        <v>32</v>
      </c>
      <c r="C244" t="s">
        <v>90</v>
      </c>
      <c r="D244" t="s">
        <v>75</v>
      </c>
      <c r="E244" s="6">
        <f t="shared" ca="1" si="11"/>
        <v>16.995351416408958</v>
      </c>
      <c r="I244" t="s">
        <v>98</v>
      </c>
      <c r="J244">
        <f>J226+1</f>
        <v>16</v>
      </c>
      <c r="K244" s="6">
        <f t="shared" ca="1" si="10"/>
        <v>16.995351416408958</v>
      </c>
    </row>
    <row r="245" spans="1:11" ht="15" customHeight="1" x14ac:dyDescent="0.25">
      <c r="K245" s="6" t="e">
        <f t="shared" ca="1" si="10"/>
        <v>#REF!</v>
      </c>
    </row>
    <row r="246" spans="1:11" ht="15" customHeight="1" x14ac:dyDescent="0.25">
      <c r="A246">
        <v>2017</v>
      </c>
      <c r="B246">
        <v>32</v>
      </c>
      <c r="C246" t="s">
        <v>90</v>
      </c>
      <c r="D246" t="s">
        <v>76</v>
      </c>
      <c r="E246" s="6">
        <f t="shared" ca="1" si="11"/>
        <v>16.995351416408958</v>
      </c>
      <c r="I246" t="s">
        <v>98</v>
      </c>
      <c r="J246">
        <f>J228+1</f>
        <v>16</v>
      </c>
      <c r="K246" s="6">
        <f t="shared" ca="1" si="10"/>
        <v>16.995351416408958</v>
      </c>
    </row>
    <row r="247" spans="1:11" ht="15" customHeight="1" x14ac:dyDescent="0.25">
      <c r="K247" s="6" t="e">
        <f t="shared" ca="1" si="10"/>
        <v>#REF!</v>
      </c>
    </row>
    <row r="248" spans="1:11" ht="15" customHeight="1" x14ac:dyDescent="0.25">
      <c r="A248">
        <v>2017</v>
      </c>
      <c r="B248">
        <v>32</v>
      </c>
      <c r="C248" t="s">
        <v>90</v>
      </c>
      <c r="D248" t="s">
        <v>77</v>
      </c>
      <c r="E248" s="6">
        <f t="shared" ca="1" si="11"/>
        <v>20</v>
      </c>
      <c r="I248" t="s">
        <v>99</v>
      </c>
      <c r="J248">
        <f>J230+1</f>
        <v>16</v>
      </c>
      <c r="K248" s="6">
        <f t="shared" ca="1" si="10"/>
        <v>20</v>
      </c>
    </row>
    <row r="249" spans="1:11" ht="15" customHeight="1" x14ac:dyDescent="0.25">
      <c r="K249" s="6" t="e">
        <f t="shared" ca="1" si="10"/>
        <v>#REF!</v>
      </c>
    </row>
    <row r="250" spans="1:11" ht="15" customHeight="1" x14ac:dyDescent="0.25">
      <c r="A250">
        <v>2017</v>
      </c>
      <c r="B250">
        <v>32</v>
      </c>
      <c r="C250" t="s">
        <v>90</v>
      </c>
      <c r="D250" t="s">
        <v>78</v>
      </c>
      <c r="E250" s="6">
        <f t="shared" ca="1" si="11"/>
        <v>20</v>
      </c>
      <c r="I250" t="s">
        <v>99</v>
      </c>
      <c r="J250">
        <f>J232+1</f>
        <v>16</v>
      </c>
      <c r="K250" s="6">
        <f t="shared" ca="1" si="10"/>
        <v>20</v>
      </c>
    </row>
    <row r="251" spans="1:11" ht="15" customHeight="1" x14ac:dyDescent="0.25">
      <c r="K251" s="6" t="e">
        <f t="shared" ca="1" si="10"/>
        <v>#REF!</v>
      </c>
    </row>
    <row r="252" spans="1:11" ht="15" customHeight="1" x14ac:dyDescent="0.25">
      <c r="A252">
        <v>2017</v>
      </c>
      <c r="B252">
        <v>32</v>
      </c>
      <c r="C252" t="s">
        <v>90</v>
      </c>
      <c r="D252" t="s">
        <v>79</v>
      </c>
      <c r="E252" s="6">
        <f t="shared" ca="1" si="11"/>
        <v>20</v>
      </c>
      <c r="I252" t="s">
        <v>99</v>
      </c>
      <c r="J252">
        <f>J234+1</f>
        <v>16</v>
      </c>
      <c r="K252" s="6">
        <f t="shared" ca="1" si="10"/>
        <v>20</v>
      </c>
    </row>
    <row r="254" spans="1:11" ht="15" customHeight="1" x14ac:dyDescent="0.25">
      <c r="A254">
        <v>2017</v>
      </c>
      <c r="B254">
        <v>14</v>
      </c>
      <c r="C254" t="s">
        <v>91</v>
      </c>
      <c r="D254" t="s">
        <v>292</v>
      </c>
      <c r="E254" s="6">
        <f t="shared" ca="1" si="11"/>
        <v>94.478551689634855</v>
      </c>
      <c r="I254" t="s">
        <v>97</v>
      </c>
      <c r="J254">
        <f>J236+1</f>
        <v>17</v>
      </c>
      <c r="K254" s="6">
        <f t="shared" ref="K254:K306" ca="1" si="12">INDIRECT(CONCATENATE("'P Fertilizer Rate'!",I254,J254))</f>
        <v>94.478551689634855</v>
      </c>
    </row>
    <row r="255" spans="1:11" ht="15" customHeight="1" x14ac:dyDescent="0.25">
      <c r="K255" s="6" t="e">
        <f t="shared" ca="1" si="12"/>
        <v>#REF!</v>
      </c>
    </row>
    <row r="256" spans="1:11" ht="15" customHeight="1" x14ac:dyDescent="0.25">
      <c r="A256">
        <v>2017</v>
      </c>
      <c r="B256">
        <v>14</v>
      </c>
      <c r="C256" t="s">
        <v>91</v>
      </c>
      <c r="D256" t="s">
        <v>293</v>
      </c>
      <c r="E256" s="6">
        <f t="shared" ca="1" si="11"/>
        <v>94.478551689634855</v>
      </c>
      <c r="I256" t="s">
        <v>97</v>
      </c>
      <c r="J256">
        <f>J238+1</f>
        <v>17</v>
      </c>
      <c r="K256" s="6">
        <f t="shared" ca="1" si="12"/>
        <v>94.478551689634855</v>
      </c>
    </row>
    <row r="257" spans="1:11" ht="15" customHeight="1" x14ac:dyDescent="0.25">
      <c r="K257" s="6" t="e">
        <f t="shared" ca="1" si="12"/>
        <v>#REF!</v>
      </c>
    </row>
    <row r="258" spans="1:11" ht="15" customHeight="1" x14ac:dyDescent="0.25">
      <c r="A258">
        <v>2017</v>
      </c>
      <c r="B258">
        <v>14</v>
      </c>
      <c r="C258" t="s">
        <v>91</v>
      </c>
      <c r="D258" t="s">
        <v>294</v>
      </c>
      <c r="E258" s="6">
        <f t="shared" ca="1" si="11"/>
        <v>94.478551689634855</v>
      </c>
      <c r="I258" t="s">
        <v>97</v>
      </c>
      <c r="J258">
        <f>J240+1</f>
        <v>17</v>
      </c>
      <c r="K258" s="6">
        <f t="shared" ca="1" si="12"/>
        <v>94.478551689634855</v>
      </c>
    </row>
    <row r="259" spans="1:11" ht="15" customHeight="1" x14ac:dyDescent="0.25">
      <c r="K259" s="6" t="e">
        <f t="shared" ca="1" si="12"/>
        <v>#REF!</v>
      </c>
    </row>
    <row r="260" spans="1:11" ht="15" customHeight="1" x14ac:dyDescent="0.25">
      <c r="A260">
        <v>2017</v>
      </c>
      <c r="B260">
        <v>14</v>
      </c>
      <c r="C260" t="s">
        <v>91</v>
      </c>
      <c r="D260" t="s">
        <v>74</v>
      </c>
      <c r="E260" s="6">
        <f t="shared" ca="1" si="11"/>
        <v>75.582841351707884</v>
      </c>
      <c r="I260" t="s">
        <v>98</v>
      </c>
      <c r="J260">
        <f>J242+1</f>
        <v>17</v>
      </c>
      <c r="K260" s="6">
        <f t="shared" ca="1" si="12"/>
        <v>75.582841351707884</v>
      </c>
    </row>
    <row r="261" spans="1:11" ht="15" customHeight="1" x14ac:dyDescent="0.25">
      <c r="K261" s="6" t="e">
        <f t="shared" ca="1" si="12"/>
        <v>#REF!</v>
      </c>
    </row>
    <row r="262" spans="1:11" ht="15" customHeight="1" x14ac:dyDescent="0.25">
      <c r="A262">
        <v>2017</v>
      </c>
      <c r="B262">
        <v>14</v>
      </c>
      <c r="C262" t="s">
        <v>91</v>
      </c>
      <c r="D262" t="s">
        <v>75</v>
      </c>
      <c r="E262" s="6">
        <f t="shared" ca="1" si="11"/>
        <v>75.582841351707884</v>
      </c>
      <c r="I262" t="s">
        <v>98</v>
      </c>
      <c r="J262">
        <f>J244+1</f>
        <v>17</v>
      </c>
      <c r="K262" s="6">
        <f t="shared" ca="1" si="12"/>
        <v>75.582841351707884</v>
      </c>
    </row>
    <row r="263" spans="1:11" ht="15" customHeight="1" x14ac:dyDescent="0.25">
      <c r="K263" s="6" t="e">
        <f t="shared" ca="1" si="12"/>
        <v>#REF!</v>
      </c>
    </row>
    <row r="264" spans="1:11" ht="15" customHeight="1" x14ac:dyDescent="0.25">
      <c r="A264">
        <v>2017</v>
      </c>
      <c r="B264">
        <v>14</v>
      </c>
      <c r="C264" t="s">
        <v>91</v>
      </c>
      <c r="D264" t="s">
        <v>76</v>
      </c>
      <c r="E264" s="6">
        <f t="shared" ca="1" si="11"/>
        <v>75.582841351707884</v>
      </c>
      <c r="I264" t="s">
        <v>98</v>
      </c>
      <c r="J264">
        <f>J246+1</f>
        <v>17</v>
      </c>
      <c r="K264" s="6">
        <f t="shared" ca="1" si="12"/>
        <v>75.582841351707884</v>
      </c>
    </row>
    <row r="265" spans="1:11" ht="15" customHeight="1" x14ac:dyDescent="0.25">
      <c r="K265" s="6" t="e">
        <f t="shared" ca="1" si="12"/>
        <v>#REF!</v>
      </c>
    </row>
    <row r="266" spans="1:11" ht="15" customHeight="1" x14ac:dyDescent="0.25">
      <c r="A266">
        <v>2017</v>
      </c>
      <c r="B266">
        <v>14</v>
      </c>
      <c r="C266" t="s">
        <v>91</v>
      </c>
      <c r="D266" t="s">
        <v>77</v>
      </c>
      <c r="E266" s="6">
        <f t="shared" ca="1" si="11"/>
        <v>20</v>
      </c>
      <c r="I266" t="s">
        <v>99</v>
      </c>
      <c r="J266">
        <f>J248+1</f>
        <v>17</v>
      </c>
      <c r="K266" s="6">
        <f t="shared" ca="1" si="12"/>
        <v>20</v>
      </c>
    </row>
    <row r="267" spans="1:11" ht="15" customHeight="1" x14ac:dyDescent="0.25">
      <c r="K267" s="6" t="e">
        <f t="shared" ca="1" si="12"/>
        <v>#REF!</v>
      </c>
    </row>
    <row r="268" spans="1:11" ht="15" customHeight="1" x14ac:dyDescent="0.25">
      <c r="A268">
        <v>2017</v>
      </c>
      <c r="B268">
        <v>14</v>
      </c>
      <c r="C268" t="s">
        <v>91</v>
      </c>
      <c r="D268" t="s">
        <v>78</v>
      </c>
      <c r="E268" s="6">
        <f t="shared" ca="1" si="11"/>
        <v>20</v>
      </c>
      <c r="I268" t="s">
        <v>99</v>
      </c>
      <c r="J268">
        <f>J250+1</f>
        <v>17</v>
      </c>
      <c r="K268" s="6">
        <f t="shared" ca="1" si="12"/>
        <v>20</v>
      </c>
    </row>
    <row r="269" spans="1:11" ht="15" customHeight="1" x14ac:dyDescent="0.25">
      <c r="K269" s="6" t="e">
        <f t="shared" ca="1" si="12"/>
        <v>#REF!</v>
      </c>
    </row>
    <row r="270" spans="1:11" ht="15" customHeight="1" x14ac:dyDescent="0.25">
      <c r="A270">
        <v>2017</v>
      </c>
      <c r="B270">
        <v>14</v>
      </c>
      <c r="C270" t="s">
        <v>91</v>
      </c>
      <c r="D270" t="s">
        <v>79</v>
      </c>
      <c r="E270" s="6">
        <f t="shared" ca="1" si="11"/>
        <v>20</v>
      </c>
      <c r="I270" t="s">
        <v>99</v>
      </c>
      <c r="J270">
        <f>J252+1</f>
        <v>17</v>
      </c>
      <c r="K270" s="6">
        <f t="shared" ca="1" si="12"/>
        <v>20</v>
      </c>
    </row>
    <row r="272" spans="1:11" ht="15" customHeight="1" x14ac:dyDescent="0.25">
      <c r="A272">
        <v>2017</v>
      </c>
      <c r="B272">
        <v>25</v>
      </c>
      <c r="C272" t="s">
        <v>33</v>
      </c>
      <c r="D272" t="s">
        <v>292</v>
      </c>
      <c r="E272" s="6">
        <f t="shared" ca="1" si="11"/>
        <v>89.832757810193172</v>
      </c>
      <c r="I272" t="s">
        <v>97</v>
      </c>
      <c r="J272">
        <f>J254+1</f>
        <v>18</v>
      </c>
      <c r="K272" s="6">
        <f t="shared" ref="K272:K324" ca="1" si="13">INDIRECT(CONCATENATE("'P Fertilizer Rate'!",I272,J272))</f>
        <v>89.832757810193172</v>
      </c>
    </row>
    <row r="273" spans="1:11" ht="15" customHeight="1" x14ac:dyDescent="0.25">
      <c r="K273" s="6" t="e">
        <f t="shared" ca="1" si="13"/>
        <v>#REF!</v>
      </c>
    </row>
    <row r="274" spans="1:11" ht="15" customHeight="1" x14ac:dyDescent="0.25">
      <c r="A274">
        <v>2017</v>
      </c>
      <c r="B274">
        <v>25</v>
      </c>
      <c r="C274" t="s">
        <v>33</v>
      </c>
      <c r="D274" t="s">
        <v>293</v>
      </c>
      <c r="E274" s="6">
        <f t="shared" ref="E274:E336" ca="1" si="14">K274</f>
        <v>89.832757810193172</v>
      </c>
      <c r="I274" t="s">
        <v>97</v>
      </c>
      <c r="J274">
        <f>J256+1</f>
        <v>18</v>
      </c>
      <c r="K274" s="6">
        <f t="shared" ca="1" si="13"/>
        <v>89.832757810193172</v>
      </c>
    </row>
    <row r="275" spans="1:11" ht="15" customHeight="1" x14ac:dyDescent="0.25">
      <c r="K275" s="6" t="e">
        <f t="shared" ca="1" si="13"/>
        <v>#REF!</v>
      </c>
    </row>
    <row r="276" spans="1:11" ht="15" customHeight="1" x14ac:dyDescent="0.25">
      <c r="A276">
        <v>2017</v>
      </c>
      <c r="B276">
        <v>25</v>
      </c>
      <c r="C276" t="s">
        <v>33</v>
      </c>
      <c r="D276" t="s">
        <v>294</v>
      </c>
      <c r="E276" s="6">
        <f t="shared" ca="1" si="14"/>
        <v>89.832757810193172</v>
      </c>
      <c r="I276" t="s">
        <v>97</v>
      </c>
      <c r="J276">
        <f>J258+1</f>
        <v>18</v>
      </c>
      <c r="K276" s="6">
        <f t="shared" ca="1" si="13"/>
        <v>89.832757810193172</v>
      </c>
    </row>
    <row r="277" spans="1:11" ht="15" customHeight="1" x14ac:dyDescent="0.25">
      <c r="K277" s="6" t="e">
        <f t="shared" ca="1" si="13"/>
        <v>#REF!</v>
      </c>
    </row>
    <row r="278" spans="1:11" ht="15" customHeight="1" x14ac:dyDescent="0.25">
      <c r="A278">
        <v>2017</v>
      </c>
      <c r="B278">
        <v>25</v>
      </c>
      <c r="C278" t="s">
        <v>33</v>
      </c>
      <c r="D278" t="s">
        <v>74</v>
      </c>
      <c r="E278" s="6">
        <f t="shared" ca="1" si="14"/>
        <v>71.866206248154541</v>
      </c>
      <c r="I278" t="s">
        <v>98</v>
      </c>
      <c r="J278">
        <f>J260+1</f>
        <v>18</v>
      </c>
      <c r="K278" s="6">
        <f t="shared" ca="1" si="13"/>
        <v>71.866206248154541</v>
      </c>
    </row>
    <row r="279" spans="1:11" ht="15" customHeight="1" x14ac:dyDescent="0.25">
      <c r="K279" s="6" t="e">
        <f t="shared" ca="1" si="13"/>
        <v>#REF!</v>
      </c>
    </row>
    <row r="280" spans="1:11" ht="15" customHeight="1" x14ac:dyDescent="0.25">
      <c r="A280">
        <v>2017</v>
      </c>
      <c r="B280">
        <v>25</v>
      </c>
      <c r="C280" t="s">
        <v>33</v>
      </c>
      <c r="D280" t="s">
        <v>75</v>
      </c>
      <c r="E280" s="6">
        <f t="shared" ca="1" si="14"/>
        <v>71.866206248154541</v>
      </c>
      <c r="I280" t="s">
        <v>98</v>
      </c>
      <c r="J280">
        <f>J262+1</f>
        <v>18</v>
      </c>
      <c r="K280" s="6">
        <f t="shared" ca="1" si="13"/>
        <v>71.866206248154541</v>
      </c>
    </row>
    <row r="281" spans="1:11" ht="15" customHeight="1" x14ac:dyDescent="0.25">
      <c r="K281" s="6" t="e">
        <f t="shared" ca="1" si="13"/>
        <v>#REF!</v>
      </c>
    </row>
    <row r="282" spans="1:11" ht="15" customHeight="1" x14ac:dyDescent="0.25">
      <c r="A282">
        <v>2017</v>
      </c>
      <c r="B282">
        <v>25</v>
      </c>
      <c r="C282" t="s">
        <v>33</v>
      </c>
      <c r="D282" t="s">
        <v>76</v>
      </c>
      <c r="E282" s="6">
        <f t="shared" ca="1" si="14"/>
        <v>71.866206248154541</v>
      </c>
      <c r="I282" t="s">
        <v>98</v>
      </c>
      <c r="J282">
        <f>J264+1</f>
        <v>18</v>
      </c>
      <c r="K282" s="6">
        <f t="shared" ca="1" si="13"/>
        <v>71.866206248154541</v>
      </c>
    </row>
    <row r="283" spans="1:11" ht="15" customHeight="1" x14ac:dyDescent="0.25">
      <c r="K283" s="6" t="e">
        <f t="shared" ca="1" si="13"/>
        <v>#REF!</v>
      </c>
    </row>
    <row r="284" spans="1:11" ht="15" customHeight="1" x14ac:dyDescent="0.25">
      <c r="A284">
        <v>2017</v>
      </c>
      <c r="B284">
        <v>25</v>
      </c>
      <c r="C284" t="s">
        <v>33</v>
      </c>
      <c r="D284" t="s">
        <v>77</v>
      </c>
      <c r="E284" s="6">
        <f t="shared" ca="1" si="14"/>
        <v>20</v>
      </c>
      <c r="I284" t="s">
        <v>99</v>
      </c>
      <c r="J284">
        <f>J266+1</f>
        <v>18</v>
      </c>
      <c r="K284" s="6">
        <f t="shared" ca="1" si="13"/>
        <v>20</v>
      </c>
    </row>
    <row r="285" spans="1:11" ht="15" customHeight="1" x14ac:dyDescent="0.25">
      <c r="K285" s="6" t="e">
        <f t="shared" ca="1" si="13"/>
        <v>#REF!</v>
      </c>
    </row>
    <row r="286" spans="1:11" ht="15" customHeight="1" x14ac:dyDescent="0.25">
      <c r="A286">
        <v>2017</v>
      </c>
      <c r="B286">
        <v>25</v>
      </c>
      <c r="C286" t="s">
        <v>33</v>
      </c>
      <c r="D286" t="s">
        <v>78</v>
      </c>
      <c r="E286" s="6">
        <f t="shared" ca="1" si="14"/>
        <v>20</v>
      </c>
      <c r="I286" t="s">
        <v>99</v>
      </c>
      <c r="J286">
        <f>J268+1</f>
        <v>18</v>
      </c>
      <c r="K286" s="6">
        <f t="shared" ca="1" si="13"/>
        <v>20</v>
      </c>
    </row>
    <row r="287" spans="1:11" ht="15" customHeight="1" x14ac:dyDescent="0.25">
      <c r="K287" s="6" t="e">
        <f t="shared" ca="1" si="13"/>
        <v>#REF!</v>
      </c>
    </row>
    <row r="288" spans="1:11" ht="15" customHeight="1" x14ac:dyDescent="0.25">
      <c r="A288">
        <v>2017</v>
      </c>
      <c r="B288">
        <v>25</v>
      </c>
      <c r="C288" t="s">
        <v>33</v>
      </c>
      <c r="D288" t="s">
        <v>79</v>
      </c>
      <c r="E288" s="6">
        <f t="shared" ca="1" si="14"/>
        <v>20</v>
      </c>
      <c r="I288" t="s">
        <v>99</v>
      </c>
      <c r="J288">
        <f>J270+1</f>
        <v>18</v>
      </c>
      <c r="K288" s="6">
        <f t="shared" ca="1" si="13"/>
        <v>20</v>
      </c>
    </row>
    <row r="290" spans="1:11" ht="15" customHeight="1" x14ac:dyDescent="0.25">
      <c r="A290">
        <v>2017</v>
      </c>
      <c r="B290">
        <v>46</v>
      </c>
      <c r="C290" t="s">
        <v>34</v>
      </c>
      <c r="D290" t="s">
        <v>292</v>
      </c>
      <c r="E290" s="6">
        <f t="shared" ca="1" si="14"/>
        <v>83.296794809862291</v>
      </c>
      <c r="I290" t="s">
        <v>97</v>
      </c>
      <c r="J290">
        <f>J272+1</f>
        <v>19</v>
      </c>
      <c r="K290" s="6">
        <f ca="1">INDIRECT(CONCATENATE("'P Fertilizer Rate'!",I290,J290))</f>
        <v>83.296794809862291</v>
      </c>
    </row>
    <row r="291" spans="1:11" ht="15" customHeight="1" x14ac:dyDescent="0.25">
      <c r="K291" s="6" t="e">
        <f t="shared" ca="1" si="12"/>
        <v>#REF!</v>
      </c>
    </row>
    <row r="292" spans="1:11" ht="15" customHeight="1" x14ac:dyDescent="0.25">
      <c r="A292">
        <v>2017</v>
      </c>
      <c r="B292">
        <v>46</v>
      </c>
      <c r="C292" t="s">
        <v>34</v>
      </c>
      <c r="D292" t="s">
        <v>293</v>
      </c>
      <c r="E292" s="6">
        <f t="shared" ca="1" si="14"/>
        <v>83.296794809862291</v>
      </c>
      <c r="I292" t="s">
        <v>97</v>
      </c>
      <c r="J292">
        <f>J274+1</f>
        <v>19</v>
      </c>
      <c r="K292" s="6">
        <f t="shared" ca="1" si="12"/>
        <v>83.296794809862291</v>
      </c>
    </row>
    <row r="293" spans="1:11" ht="15" customHeight="1" x14ac:dyDescent="0.25">
      <c r="K293" s="6" t="e">
        <f t="shared" ca="1" si="12"/>
        <v>#REF!</v>
      </c>
    </row>
    <row r="294" spans="1:11" ht="15" customHeight="1" x14ac:dyDescent="0.25">
      <c r="A294">
        <v>2017</v>
      </c>
      <c r="B294">
        <v>46</v>
      </c>
      <c r="C294" t="s">
        <v>34</v>
      </c>
      <c r="D294" t="s">
        <v>294</v>
      </c>
      <c r="E294" s="6">
        <f t="shared" ca="1" si="14"/>
        <v>83.296794809862291</v>
      </c>
      <c r="I294" t="s">
        <v>97</v>
      </c>
      <c r="J294">
        <f>J276+1</f>
        <v>19</v>
      </c>
      <c r="K294" s="6">
        <f t="shared" ca="1" si="12"/>
        <v>83.296794809862291</v>
      </c>
    </row>
    <row r="295" spans="1:11" ht="15" customHeight="1" x14ac:dyDescent="0.25">
      <c r="K295" s="6" t="e">
        <f t="shared" ca="1" si="12"/>
        <v>#REF!</v>
      </c>
    </row>
    <row r="296" spans="1:11" ht="15" customHeight="1" x14ac:dyDescent="0.25">
      <c r="A296">
        <v>2017</v>
      </c>
      <c r="B296">
        <v>46</v>
      </c>
      <c r="C296" t="s">
        <v>34</v>
      </c>
      <c r="D296" t="s">
        <v>74</v>
      </c>
      <c r="E296" s="6">
        <f t="shared" ca="1" si="14"/>
        <v>66.637435847889833</v>
      </c>
      <c r="I296" t="s">
        <v>98</v>
      </c>
      <c r="J296">
        <f>J278+1</f>
        <v>19</v>
      </c>
      <c r="K296" s="6">
        <f t="shared" ca="1" si="12"/>
        <v>66.637435847889833</v>
      </c>
    </row>
    <row r="297" spans="1:11" ht="15" customHeight="1" x14ac:dyDescent="0.25">
      <c r="K297" s="6" t="e">
        <f t="shared" ca="1" si="12"/>
        <v>#REF!</v>
      </c>
    </row>
    <row r="298" spans="1:11" ht="15" customHeight="1" x14ac:dyDescent="0.25">
      <c r="A298">
        <v>2017</v>
      </c>
      <c r="B298">
        <v>46</v>
      </c>
      <c r="C298" t="s">
        <v>34</v>
      </c>
      <c r="D298" t="s">
        <v>75</v>
      </c>
      <c r="E298" s="6">
        <f t="shared" ca="1" si="14"/>
        <v>66.637435847889833</v>
      </c>
      <c r="I298" t="s">
        <v>98</v>
      </c>
      <c r="J298">
        <f>J280+1</f>
        <v>19</v>
      </c>
      <c r="K298" s="6">
        <f t="shared" ca="1" si="12"/>
        <v>66.637435847889833</v>
      </c>
    </row>
    <row r="299" spans="1:11" ht="15" customHeight="1" x14ac:dyDescent="0.25">
      <c r="K299" s="6" t="e">
        <f t="shared" ca="1" si="12"/>
        <v>#REF!</v>
      </c>
    </row>
    <row r="300" spans="1:11" ht="15" customHeight="1" x14ac:dyDescent="0.25">
      <c r="A300">
        <v>2017</v>
      </c>
      <c r="B300">
        <v>46</v>
      </c>
      <c r="C300" t="s">
        <v>34</v>
      </c>
      <c r="D300" t="s">
        <v>76</v>
      </c>
      <c r="E300" s="6">
        <f t="shared" ca="1" si="14"/>
        <v>66.637435847889833</v>
      </c>
      <c r="I300" t="s">
        <v>98</v>
      </c>
      <c r="J300">
        <f>J282+1</f>
        <v>19</v>
      </c>
      <c r="K300" s="6">
        <f t="shared" ca="1" si="12"/>
        <v>66.637435847889833</v>
      </c>
    </row>
    <row r="301" spans="1:11" ht="15" customHeight="1" x14ac:dyDescent="0.25">
      <c r="K301" s="6" t="e">
        <f t="shared" ca="1" si="12"/>
        <v>#REF!</v>
      </c>
    </row>
    <row r="302" spans="1:11" ht="15" customHeight="1" x14ac:dyDescent="0.25">
      <c r="A302">
        <v>2017</v>
      </c>
      <c r="B302">
        <v>46</v>
      </c>
      <c r="C302" t="s">
        <v>34</v>
      </c>
      <c r="D302" t="s">
        <v>77</v>
      </c>
      <c r="E302" s="6">
        <f t="shared" ca="1" si="14"/>
        <v>20</v>
      </c>
      <c r="I302" t="s">
        <v>99</v>
      </c>
      <c r="J302">
        <f>J284+1</f>
        <v>19</v>
      </c>
      <c r="K302" s="6">
        <f t="shared" ca="1" si="12"/>
        <v>20</v>
      </c>
    </row>
    <row r="303" spans="1:11" ht="15" customHeight="1" x14ac:dyDescent="0.25">
      <c r="K303" s="6" t="e">
        <f t="shared" ca="1" si="12"/>
        <v>#REF!</v>
      </c>
    </row>
    <row r="304" spans="1:11" ht="15" customHeight="1" x14ac:dyDescent="0.25">
      <c r="A304">
        <v>2017</v>
      </c>
      <c r="B304">
        <v>46</v>
      </c>
      <c r="C304" t="s">
        <v>34</v>
      </c>
      <c r="D304" t="s">
        <v>78</v>
      </c>
      <c r="E304" s="6">
        <f t="shared" ca="1" si="14"/>
        <v>20</v>
      </c>
      <c r="I304" t="s">
        <v>99</v>
      </c>
      <c r="J304">
        <f>J286+1</f>
        <v>19</v>
      </c>
      <c r="K304" s="6">
        <f t="shared" ca="1" si="12"/>
        <v>20</v>
      </c>
    </row>
    <row r="305" spans="1:11" ht="15" customHeight="1" x14ac:dyDescent="0.25">
      <c r="K305" s="6" t="e">
        <f t="shared" ca="1" si="12"/>
        <v>#REF!</v>
      </c>
    </row>
    <row r="306" spans="1:11" ht="15" customHeight="1" x14ac:dyDescent="0.25">
      <c r="A306">
        <v>2017</v>
      </c>
      <c r="B306">
        <v>46</v>
      </c>
      <c r="C306" t="s">
        <v>34</v>
      </c>
      <c r="D306" t="s">
        <v>79</v>
      </c>
      <c r="E306" s="6">
        <f t="shared" ca="1" si="14"/>
        <v>20</v>
      </c>
      <c r="I306" t="s">
        <v>99</v>
      </c>
      <c r="J306">
        <f>J288+1</f>
        <v>19</v>
      </c>
      <c r="K306" s="6">
        <f t="shared" ca="1" si="12"/>
        <v>20</v>
      </c>
    </row>
    <row r="308" spans="1:11" ht="15" customHeight="1" x14ac:dyDescent="0.25">
      <c r="A308">
        <v>2017</v>
      </c>
      <c r="B308">
        <v>68</v>
      </c>
      <c r="C308" t="s">
        <v>92</v>
      </c>
      <c r="D308" t="s">
        <v>292</v>
      </c>
      <c r="E308" s="6">
        <f t="shared" ca="1" si="14"/>
        <v>54.317758477062306</v>
      </c>
      <c r="I308" t="s">
        <v>97</v>
      </c>
      <c r="J308">
        <f>J290+1</f>
        <v>20</v>
      </c>
      <c r="K308" s="6">
        <f ca="1">INDIRECT(CONCATENATE("'P Fertilizer Rate'!",I308,J308))</f>
        <v>54.317758477062306</v>
      </c>
    </row>
    <row r="309" spans="1:11" ht="15" customHeight="1" x14ac:dyDescent="0.25">
      <c r="K309" s="6" t="e">
        <f t="shared" ca="1" si="13"/>
        <v>#REF!</v>
      </c>
    </row>
    <row r="310" spans="1:11" ht="15" customHeight="1" x14ac:dyDescent="0.25">
      <c r="A310">
        <v>2017</v>
      </c>
      <c r="B310">
        <v>68</v>
      </c>
      <c r="C310" t="s">
        <v>92</v>
      </c>
      <c r="D310" t="s">
        <v>293</v>
      </c>
      <c r="E310" s="6">
        <f t="shared" ca="1" si="14"/>
        <v>54.317758477062306</v>
      </c>
      <c r="I310" t="s">
        <v>97</v>
      </c>
      <c r="J310">
        <f>J292+1</f>
        <v>20</v>
      </c>
      <c r="K310" s="6">
        <f t="shared" ca="1" si="13"/>
        <v>54.317758477062306</v>
      </c>
    </row>
    <row r="311" spans="1:11" ht="15" customHeight="1" x14ac:dyDescent="0.25">
      <c r="K311" s="6" t="e">
        <f t="shared" ca="1" si="13"/>
        <v>#REF!</v>
      </c>
    </row>
    <row r="312" spans="1:11" ht="15" customHeight="1" x14ac:dyDescent="0.25">
      <c r="A312">
        <v>2017</v>
      </c>
      <c r="B312">
        <v>68</v>
      </c>
      <c r="C312" t="s">
        <v>92</v>
      </c>
      <c r="D312" t="s">
        <v>294</v>
      </c>
      <c r="E312" s="6">
        <f t="shared" ca="1" si="14"/>
        <v>54.317758477062306</v>
      </c>
      <c r="I312" t="s">
        <v>97</v>
      </c>
      <c r="J312">
        <f>J294+1</f>
        <v>20</v>
      </c>
      <c r="K312" s="6">
        <f t="shared" ca="1" si="13"/>
        <v>54.317758477062306</v>
      </c>
    </row>
    <row r="313" spans="1:11" ht="15" customHeight="1" x14ac:dyDescent="0.25">
      <c r="K313" s="6" t="e">
        <f t="shared" ca="1" si="13"/>
        <v>#REF!</v>
      </c>
    </row>
    <row r="314" spans="1:11" ht="15" customHeight="1" x14ac:dyDescent="0.25">
      <c r="A314">
        <v>2017</v>
      </c>
      <c r="B314">
        <v>68</v>
      </c>
      <c r="C314" t="s">
        <v>92</v>
      </c>
      <c r="D314" t="s">
        <v>74</v>
      </c>
      <c r="E314" s="6">
        <f t="shared" ca="1" si="14"/>
        <v>43.454206781649845</v>
      </c>
      <c r="I314" t="s">
        <v>98</v>
      </c>
      <c r="J314">
        <f>J296+1</f>
        <v>20</v>
      </c>
      <c r="K314" s="6">
        <f t="shared" ca="1" si="13"/>
        <v>43.454206781649845</v>
      </c>
    </row>
    <row r="315" spans="1:11" ht="15" customHeight="1" x14ac:dyDescent="0.25">
      <c r="K315" s="6" t="e">
        <f t="shared" ca="1" si="13"/>
        <v>#REF!</v>
      </c>
    </row>
    <row r="316" spans="1:11" ht="15" customHeight="1" x14ac:dyDescent="0.25">
      <c r="A316">
        <v>2017</v>
      </c>
      <c r="B316">
        <v>68</v>
      </c>
      <c r="C316" t="s">
        <v>92</v>
      </c>
      <c r="D316" t="s">
        <v>75</v>
      </c>
      <c r="E316" s="6">
        <f t="shared" ca="1" si="14"/>
        <v>43.454206781649845</v>
      </c>
      <c r="I316" t="s">
        <v>98</v>
      </c>
      <c r="J316">
        <f>J298+1</f>
        <v>20</v>
      </c>
      <c r="K316" s="6">
        <f t="shared" ca="1" si="13"/>
        <v>43.454206781649845</v>
      </c>
    </row>
    <row r="317" spans="1:11" ht="15" customHeight="1" x14ac:dyDescent="0.25">
      <c r="K317" s="6" t="e">
        <f t="shared" ca="1" si="13"/>
        <v>#REF!</v>
      </c>
    </row>
    <row r="318" spans="1:11" ht="15" customHeight="1" x14ac:dyDescent="0.25">
      <c r="A318">
        <v>2017</v>
      </c>
      <c r="B318">
        <v>68</v>
      </c>
      <c r="C318" t="s">
        <v>92</v>
      </c>
      <c r="D318" t="s">
        <v>76</v>
      </c>
      <c r="E318" s="6">
        <f t="shared" ca="1" si="14"/>
        <v>43.454206781649845</v>
      </c>
      <c r="I318" t="s">
        <v>98</v>
      </c>
      <c r="J318">
        <f>J300+1</f>
        <v>20</v>
      </c>
      <c r="K318" s="6">
        <f t="shared" ca="1" si="13"/>
        <v>43.454206781649845</v>
      </c>
    </row>
    <row r="319" spans="1:11" ht="15" customHeight="1" x14ac:dyDescent="0.25">
      <c r="K319" s="6" t="e">
        <f t="shared" ca="1" si="13"/>
        <v>#REF!</v>
      </c>
    </row>
    <row r="320" spans="1:11" ht="15" customHeight="1" x14ac:dyDescent="0.25">
      <c r="A320">
        <v>2017</v>
      </c>
      <c r="B320">
        <v>68</v>
      </c>
      <c r="C320" t="s">
        <v>92</v>
      </c>
      <c r="D320" t="s">
        <v>77</v>
      </c>
      <c r="E320" s="6">
        <f t="shared" ca="1" si="14"/>
        <v>20</v>
      </c>
      <c r="I320" t="s">
        <v>99</v>
      </c>
      <c r="J320">
        <f>J302+1</f>
        <v>20</v>
      </c>
      <c r="K320" s="6">
        <f t="shared" ca="1" si="13"/>
        <v>20</v>
      </c>
    </row>
    <row r="321" spans="1:11" ht="15" customHeight="1" x14ac:dyDescent="0.25">
      <c r="K321" s="6" t="e">
        <f t="shared" ca="1" si="13"/>
        <v>#REF!</v>
      </c>
    </row>
    <row r="322" spans="1:11" ht="15" customHeight="1" x14ac:dyDescent="0.25">
      <c r="A322">
        <v>2017</v>
      </c>
      <c r="B322">
        <v>68</v>
      </c>
      <c r="C322" t="s">
        <v>92</v>
      </c>
      <c r="D322" t="s">
        <v>78</v>
      </c>
      <c r="E322" s="6">
        <f t="shared" ca="1" si="14"/>
        <v>20</v>
      </c>
      <c r="I322" t="s">
        <v>99</v>
      </c>
      <c r="J322">
        <f>J304+1</f>
        <v>20</v>
      </c>
      <c r="K322" s="6">
        <f t="shared" ca="1" si="13"/>
        <v>20</v>
      </c>
    </row>
    <row r="323" spans="1:11" ht="15" customHeight="1" x14ac:dyDescent="0.25">
      <c r="K323" s="6" t="e">
        <f t="shared" ca="1" si="13"/>
        <v>#REF!</v>
      </c>
    </row>
    <row r="324" spans="1:11" ht="15" customHeight="1" x14ac:dyDescent="0.25">
      <c r="A324">
        <v>2017</v>
      </c>
      <c r="B324">
        <v>68</v>
      </c>
      <c r="C324" t="s">
        <v>92</v>
      </c>
      <c r="D324" t="s">
        <v>79</v>
      </c>
      <c r="E324" s="6">
        <f t="shared" ca="1" si="14"/>
        <v>20</v>
      </c>
      <c r="I324" t="s">
        <v>99</v>
      </c>
      <c r="J324">
        <f>J306+1</f>
        <v>20</v>
      </c>
      <c r="K324" s="6">
        <f t="shared" ca="1" si="13"/>
        <v>20</v>
      </c>
    </row>
    <row r="326" spans="1:11" ht="15" customHeight="1" x14ac:dyDescent="0.25">
      <c r="A326">
        <v>2017</v>
      </c>
      <c r="B326">
        <v>56</v>
      </c>
      <c r="C326" t="s">
        <v>36</v>
      </c>
      <c r="D326" t="s">
        <v>292</v>
      </c>
      <c r="E326" s="6">
        <f t="shared" ca="1" si="14"/>
        <v>69.311397802045903</v>
      </c>
      <c r="I326" t="s">
        <v>97</v>
      </c>
      <c r="J326">
        <f>J308+1</f>
        <v>21</v>
      </c>
      <c r="K326" s="6">
        <f t="shared" ref="K326:K378" ca="1" si="15">INDIRECT(CONCATENATE("'P Fertilizer Rate'!",I326,J326))</f>
        <v>69.311397802045903</v>
      </c>
    </row>
    <row r="327" spans="1:11" ht="15" customHeight="1" x14ac:dyDescent="0.25">
      <c r="K327" s="6" t="e">
        <f t="shared" ca="1" si="15"/>
        <v>#REF!</v>
      </c>
    </row>
    <row r="328" spans="1:11" ht="15" customHeight="1" x14ac:dyDescent="0.25">
      <c r="A328">
        <v>2017</v>
      </c>
      <c r="B328">
        <v>56</v>
      </c>
      <c r="C328" t="s">
        <v>36</v>
      </c>
      <c r="D328" t="s">
        <v>293</v>
      </c>
      <c r="E328" s="6">
        <f t="shared" ca="1" si="14"/>
        <v>69.311397802045903</v>
      </c>
      <c r="I328" t="s">
        <v>97</v>
      </c>
      <c r="J328">
        <f>J310+1</f>
        <v>21</v>
      </c>
      <c r="K328" s="6">
        <f t="shared" ca="1" si="15"/>
        <v>69.311397802045903</v>
      </c>
    </row>
    <row r="329" spans="1:11" ht="15" customHeight="1" x14ac:dyDescent="0.25">
      <c r="K329" s="6" t="e">
        <f t="shared" ca="1" si="15"/>
        <v>#REF!</v>
      </c>
    </row>
    <row r="330" spans="1:11" ht="15" customHeight="1" x14ac:dyDescent="0.25">
      <c r="A330">
        <v>2017</v>
      </c>
      <c r="B330">
        <v>56</v>
      </c>
      <c r="C330" t="s">
        <v>36</v>
      </c>
      <c r="D330" t="s">
        <v>294</v>
      </c>
      <c r="E330" s="6">
        <f t="shared" ca="1" si="14"/>
        <v>69.311397802045903</v>
      </c>
      <c r="I330" t="s">
        <v>97</v>
      </c>
      <c r="J330">
        <f>J312+1</f>
        <v>21</v>
      </c>
      <c r="K330" s="6">
        <f t="shared" ca="1" si="15"/>
        <v>69.311397802045903</v>
      </c>
    </row>
    <row r="331" spans="1:11" ht="15" customHeight="1" x14ac:dyDescent="0.25">
      <c r="K331" s="6" t="e">
        <f t="shared" ca="1" si="15"/>
        <v>#REF!</v>
      </c>
    </row>
    <row r="332" spans="1:11" ht="15" customHeight="1" x14ac:dyDescent="0.25">
      <c r="A332">
        <v>2017</v>
      </c>
      <c r="B332">
        <v>56</v>
      </c>
      <c r="C332" t="s">
        <v>36</v>
      </c>
      <c r="D332" t="s">
        <v>74</v>
      </c>
      <c r="E332" s="6">
        <f t="shared" ca="1" si="14"/>
        <v>55.449118241636718</v>
      </c>
      <c r="I332" t="s">
        <v>98</v>
      </c>
      <c r="J332">
        <f>J314+1</f>
        <v>21</v>
      </c>
      <c r="K332" s="6">
        <f t="shared" ca="1" si="15"/>
        <v>55.449118241636718</v>
      </c>
    </row>
    <row r="333" spans="1:11" ht="15" customHeight="1" x14ac:dyDescent="0.25">
      <c r="K333" s="6" t="e">
        <f t="shared" ca="1" si="15"/>
        <v>#REF!</v>
      </c>
    </row>
    <row r="334" spans="1:11" ht="15" customHeight="1" x14ac:dyDescent="0.25">
      <c r="A334">
        <v>2017</v>
      </c>
      <c r="B334">
        <v>56</v>
      </c>
      <c r="C334" t="s">
        <v>36</v>
      </c>
      <c r="D334" t="s">
        <v>75</v>
      </c>
      <c r="E334" s="6">
        <f t="shared" ca="1" si="14"/>
        <v>55.449118241636718</v>
      </c>
      <c r="I334" t="s">
        <v>98</v>
      </c>
      <c r="J334">
        <f>J316+1</f>
        <v>21</v>
      </c>
      <c r="K334" s="6">
        <f t="shared" ca="1" si="15"/>
        <v>55.449118241636718</v>
      </c>
    </row>
    <row r="335" spans="1:11" ht="15" customHeight="1" x14ac:dyDescent="0.25">
      <c r="K335" s="6" t="e">
        <f t="shared" ca="1" si="15"/>
        <v>#REF!</v>
      </c>
    </row>
    <row r="336" spans="1:11" ht="15" customHeight="1" x14ac:dyDescent="0.25">
      <c r="A336">
        <v>2017</v>
      </c>
      <c r="B336">
        <v>56</v>
      </c>
      <c r="C336" t="s">
        <v>36</v>
      </c>
      <c r="D336" t="s">
        <v>76</v>
      </c>
      <c r="E336" s="6">
        <f t="shared" ca="1" si="14"/>
        <v>55.449118241636718</v>
      </c>
      <c r="I336" t="s">
        <v>98</v>
      </c>
      <c r="J336">
        <f>J318+1</f>
        <v>21</v>
      </c>
      <c r="K336" s="6">
        <f t="shared" ca="1" si="15"/>
        <v>55.449118241636718</v>
      </c>
    </row>
    <row r="337" spans="1:11" ht="15" customHeight="1" x14ac:dyDescent="0.25">
      <c r="K337" s="6" t="e">
        <f t="shared" ca="1" si="15"/>
        <v>#REF!</v>
      </c>
    </row>
    <row r="338" spans="1:11" ht="15" customHeight="1" x14ac:dyDescent="0.25">
      <c r="A338">
        <v>2017</v>
      </c>
      <c r="B338">
        <v>56</v>
      </c>
      <c r="C338" t="s">
        <v>36</v>
      </c>
      <c r="D338" t="s">
        <v>77</v>
      </c>
      <c r="E338" s="6">
        <f t="shared" ref="E338:E400" ca="1" si="16">K338</f>
        <v>20</v>
      </c>
      <c r="I338" t="s">
        <v>99</v>
      </c>
      <c r="J338">
        <f>J320+1</f>
        <v>21</v>
      </c>
      <c r="K338" s="6">
        <f t="shared" ca="1" si="15"/>
        <v>20</v>
      </c>
    </row>
    <row r="339" spans="1:11" ht="15" customHeight="1" x14ac:dyDescent="0.25">
      <c r="K339" s="6" t="e">
        <f t="shared" ca="1" si="15"/>
        <v>#REF!</v>
      </c>
    </row>
    <row r="340" spans="1:11" ht="15" customHeight="1" x14ac:dyDescent="0.25">
      <c r="A340">
        <v>2017</v>
      </c>
      <c r="B340">
        <v>56</v>
      </c>
      <c r="C340" t="s">
        <v>36</v>
      </c>
      <c r="D340" t="s">
        <v>78</v>
      </c>
      <c r="E340" s="6">
        <f t="shared" ca="1" si="16"/>
        <v>20</v>
      </c>
      <c r="I340" t="s">
        <v>99</v>
      </c>
      <c r="J340">
        <f>J322+1</f>
        <v>21</v>
      </c>
      <c r="K340" s="6">
        <f t="shared" ca="1" si="15"/>
        <v>20</v>
      </c>
    </row>
    <row r="341" spans="1:11" ht="15" customHeight="1" x14ac:dyDescent="0.25">
      <c r="K341" s="6" t="e">
        <f t="shared" ca="1" si="15"/>
        <v>#REF!</v>
      </c>
    </row>
    <row r="342" spans="1:11" ht="15" customHeight="1" x14ac:dyDescent="0.25">
      <c r="A342">
        <v>2017</v>
      </c>
      <c r="B342">
        <v>56</v>
      </c>
      <c r="C342" t="s">
        <v>36</v>
      </c>
      <c r="D342" t="s">
        <v>79</v>
      </c>
      <c r="E342" s="6">
        <f t="shared" ca="1" si="16"/>
        <v>20</v>
      </c>
      <c r="I342" t="s">
        <v>99</v>
      </c>
      <c r="J342">
        <f>J324+1</f>
        <v>21</v>
      </c>
      <c r="K342" s="6">
        <f t="shared" ca="1" si="15"/>
        <v>20</v>
      </c>
    </row>
    <row r="344" spans="1:11" ht="15" customHeight="1" x14ac:dyDescent="0.25">
      <c r="A344">
        <v>2017</v>
      </c>
      <c r="B344">
        <v>7</v>
      </c>
      <c r="C344" t="s">
        <v>37</v>
      </c>
      <c r="D344" t="s">
        <v>292</v>
      </c>
      <c r="E344" s="6">
        <f t="shared" ca="1" si="16"/>
        <v>74.829751797288736</v>
      </c>
      <c r="I344" t="s">
        <v>97</v>
      </c>
      <c r="J344">
        <f>J326+1</f>
        <v>22</v>
      </c>
      <c r="K344" s="6">
        <f t="shared" ref="K344:K396" ca="1" si="17">INDIRECT(CONCATENATE("'P Fertilizer Rate'!",I344,J344))</f>
        <v>74.829751797288736</v>
      </c>
    </row>
    <row r="345" spans="1:11" ht="15" customHeight="1" x14ac:dyDescent="0.25">
      <c r="K345" s="6" t="e">
        <f t="shared" ca="1" si="17"/>
        <v>#REF!</v>
      </c>
    </row>
    <row r="346" spans="1:11" ht="15" customHeight="1" x14ac:dyDescent="0.25">
      <c r="A346">
        <v>2017</v>
      </c>
      <c r="B346">
        <v>7</v>
      </c>
      <c r="C346" t="s">
        <v>37</v>
      </c>
      <c r="D346" t="s">
        <v>293</v>
      </c>
      <c r="E346" s="6">
        <f t="shared" ca="1" si="16"/>
        <v>74.829751797288736</v>
      </c>
      <c r="I346" t="s">
        <v>97</v>
      </c>
      <c r="J346">
        <f>J328+1</f>
        <v>22</v>
      </c>
      <c r="K346" s="6">
        <f t="shared" ca="1" si="17"/>
        <v>74.829751797288736</v>
      </c>
    </row>
    <row r="347" spans="1:11" ht="15" customHeight="1" x14ac:dyDescent="0.25">
      <c r="K347" s="6" t="e">
        <f t="shared" ca="1" si="17"/>
        <v>#REF!</v>
      </c>
    </row>
    <row r="348" spans="1:11" ht="15" customHeight="1" x14ac:dyDescent="0.25">
      <c r="A348">
        <v>2017</v>
      </c>
      <c r="B348">
        <v>7</v>
      </c>
      <c r="C348" t="s">
        <v>37</v>
      </c>
      <c r="D348" t="s">
        <v>294</v>
      </c>
      <c r="E348" s="6">
        <f t="shared" ca="1" si="16"/>
        <v>74.829751797288736</v>
      </c>
      <c r="I348" t="s">
        <v>97</v>
      </c>
      <c r="J348">
        <f>J330+1</f>
        <v>22</v>
      </c>
      <c r="K348" s="6">
        <f t="shared" ca="1" si="17"/>
        <v>74.829751797288736</v>
      </c>
    </row>
    <row r="349" spans="1:11" ht="15" customHeight="1" x14ac:dyDescent="0.25">
      <c r="K349" s="6" t="e">
        <f t="shared" ca="1" si="17"/>
        <v>#REF!</v>
      </c>
    </row>
    <row r="350" spans="1:11" ht="15" customHeight="1" x14ac:dyDescent="0.25">
      <c r="A350">
        <v>2017</v>
      </c>
      <c r="B350">
        <v>7</v>
      </c>
      <c r="C350" t="s">
        <v>37</v>
      </c>
      <c r="D350" t="s">
        <v>74</v>
      </c>
      <c r="E350" s="6">
        <f t="shared" ca="1" si="16"/>
        <v>59.863801437830993</v>
      </c>
      <c r="I350" t="s">
        <v>98</v>
      </c>
      <c r="J350">
        <f>J332+1</f>
        <v>22</v>
      </c>
      <c r="K350" s="6">
        <f t="shared" ca="1" si="17"/>
        <v>59.863801437830993</v>
      </c>
    </row>
    <row r="351" spans="1:11" ht="15" customHeight="1" x14ac:dyDescent="0.25">
      <c r="K351" s="6" t="e">
        <f t="shared" ca="1" si="17"/>
        <v>#REF!</v>
      </c>
    </row>
    <row r="352" spans="1:11" ht="15" customHeight="1" x14ac:dyDescent="0.25">
      <c r="A352">
        <v>2017</v>
      </c>
      <c r="B352">
        <v>7</v>
      </c>
      <c r="C352" t="s">
        <v>37</v>
      </c>
      <c r="D352" t="s">
        <v>75</v>
      </c>
      <c r="E352" s="6">
        <f t="shared" ca="1" si="16"/>
        <v>59.863801437830993</v>
      </c>
      <c r="I352" t="s">
        <v>98</v>
      </c>
      <c r="J352">
        <f>J334+1</f>
        <v>22</v>
      </c>
      <c r="K352" s="6">
        <f t="shared" ca="1" si="17"/>
        <v>59.863801437830993</v>
      </c>
    </row>
    <row r="353" spans="1:11" ht="15" customHeight="1" x14ac:dyDescent="0.25">
      <c r="K353" s="6" t="e">
        <f t="shared" ca="1" si="17"/>
        <v>#REF!</v>
      </c>
    </row>
    <row r="354" spans="1:11" ht="15" customHeight="1" x14ac:dyDescent="0.25">
      <c r="A354">
        <v>2017</v>
      </c>
      <c r="B354">
        <v>7</v>
      </c>
      <c r="C354" t="s">
        <v>37</v>
      </c>
      <c r="D354" t="s">
        <v>76</v>
      </c>
      <c r="E354" s="6">
        <f t="shared" ca="1" si="16"/>
        <v>59.863801437830993</v>
      </c>
      <c r="I354" t="s">
        <v>98</v>
      </c>
      <c r="J354">
        <f>J336+1</f>
        <v>22</v>
      </c>
      <c r="K354" s="6">
        <f t="shared" ca="1" si="17"/>
        <v>59.863801437830993</v>
      </c>
    </row>
    <row r="355" spans="1:11" ht="15" customHeight="1" x14ac:dyDescent="0.25">
      <c r="K355" s="6" t="e">
        <f t="shared" ca="1" si="17"/>
        <v>#REF!</v>
      </c>
    </row>
    <row r="356" spans="1:11" ht="15" customHeight="1" x14ac:dyDescent="0.25">
      <c r="A356">
        <v>2017</v>
      </c>
      <c r="B356">
        <v>7</v>
      </c>
      <c r="C356" t="s">
        <v>37</v>
      </c>
      <c r="D356" t="s">
        <v>77</v>
      </c>
      <c r="E356" s="6">
        <f t="shared" ca="1" si="16"/>
        <v>20</v>
      </c>
      <c r="I356" t="s">
        <v>99</v>
      </c>
      <c r="J356">
        <f>J338+1</f>
        <v>22</v>
      </c>
      <c r="K356" s="6">
        <f t="shared" ca="1" si="17"/>
        <v>20</v>
      </c>
    </row>
    <row r="357" spans="1:11" ht="15" customHeight="1" x14ac:dyDescent="0.25">
      <c r="K357" s="6" t="e">
        <f t="shared" ca="1" si="17"/>
        <v>#REF!</v>
      </c>
    </row>
    <row r="358" spans="1:11" ht="15" customHeight="1" x14ac:dyDescent="0.25">
      <c r="A358">
        <v>2017</v>
      </c>
      <c r="B358">
        <v>7</v>
      </c>
      <c r="C358" t="s">
        <v>37</v>
      </c>
      <c r="D358" t="s">
        <v>78</v>
      </c>
      <c r="E358" s="6">
        <f t="shared" ca="1" si="16"/>
        <v>20</v>
      </c>
      <c r="I358" t="s">
        <v>99</v>
      </c>
      <c r="J358">
        <f>J340+1</f>
        <v>22</v>
      </c>
      <c r="K358" s="6">
        <f t="shared" ca="1" si="17"/>
        <v>20</v>
      </c>
    </row>
    <row r="359" spans="1:11" ht="15" customHeight="1" x14ac:dyDescent="0.25">
      <c r="K359" s="6" t="e">
        <f t="shared" ca="1" si="17"/>
        <v>#REF!</v>
      </c>
    </row>
    <row r="360" spans="1:11" ht="15" customHeight="1" x14ac:dyDescent="0.25">
      <c r="A360">
        <v>2017</v>
      </c>
      <c r="B360">
        <v>7</v>
      </c>
      <c r="C360" t="s">
        <v>37</v>
      </c>
      <c r="D360" t="s">
        <v>79</v>
      </c>
      <c r="E360" s="6">
        <f t="shared" ca="1" si="16"/>
        <v>20</v>
      </c>
      <c r="I360" t="s">
        <v>99</v>
      </c>
      <c r="J360">
        <f>J342+1</f>
        <v>22</v>
      </c>
      <c r="K360" s="6">
        <f t="shared" ca="1" si="17"/>
        <v>20</v>
      </c>
    </row>
    <row r="362" spans="1:11" ht="15" customHeight="1" x14ac:dyDescent="0.25">
      <c r="A362">
        <v>2017</v>
      </c>
      <c r="B362">
        <v>64</v>
      </c>
      <c r="C362" t="s">
        <v>38</v>
      </c>
      <c r="D362" t="s">
        <v>292</v>
      </c>
      <c r="E362" s="6">
        <f t="shared" ca="1" si="16"/>
        <v>71.553549749031987</v>
      </c>
      <c r="I362" t="s">
        <v>97</v>
      </c>
      <c r="J362">
        <f>J344+1</f>
        <v>23</v>
      </c>
      <c r="K362" s="6">
        <f ca="1">INDIRECT(CONCATENATE("'P Fertilizer Rate'!",I362,J362))</f>
        <v>71.553549749031987</v>
      </c>
    </row>
    <row r="363" spans="1:11" ht="15" customHeight="1" x14ac:dyDescent="0.25">
      <c r="K363" s="6" t="e">
        <f t="shared" ca="1" si="15"/>
        <v>#REF!</v>
      </c>
    </row>
    <row r="364" spans="1:11" ht="15" customHeight="1" x14ac:dyDescent="0.25">
      <c r="A364">
        <v>2017</v>
      </c>
      <c r="B364">
        <v>64</v>
      </c>
      <c r="C364" t="s">
        <v>38</v>
      </c>
      <c r="D364" t="s">
        <v>293</v>
      </c>
      <c r="E364" s="6">
        <f t="shared" ca="1" si="16"/>
        <v>71.553549749031987</v>
      </c>
      <c r="I364" t="s">
        <v>97</v>
      </c>
      <c r="J364">
        <f>J346+1</f>
        <v>23</v>
      </c>
      <c r="K364" s="6">
        <f t="shared" ca="1" si="15"/>
        <v>71.553549749031987</v>
      </c>
    </row>
    <row r="365" spans="1:11" ht="15" customHeight="1" x14ac:dyDescent="0.25">
      <c r="K365" s="6" t="e">
        <f t="shared" ca="1" si="15"/>
        <v>#REF!</v>
      </c>
    </row>
    <row r="366" spans="1:11" ht="15" customHeight="1" x14ac:dyDescent="0.25">
      <c r="A366">
        <v>2017</v>
      </c>
      <c r="B366">
        <v>64</v>
      </c>
      <c r="C366" t="s">
        <v>38</v>
      </c>
      <c r="D366" t="s">
        <v>294</v>
      </c>
      <c r="E366" s="6">
        <f t="shared" ca="1" si="16"/>
        <v>71.553549749031987</v>
      </c>
      <c r="I366" t="s">
        <v>97</v>
      </c>
      <c r="J366">
        <f>J348+1</f>
        <v>23</v>
      </c>
      <c r="K366" s="6">
        <f t="shared" ca="1" si="15"/>
        <v>71.553549749031987</v>
      </c>
    </row>
    <row r="367" spans="1:11" ht="15" customHeight="1" x14ac:dyDescent="0.25">
      <c r="K367" s="6" t="e">
        <f t="shared" ca="1" si="15"/>
        <v>#REF!</v>
      </c>
    </row>
    <row r="368" spans="1:11" ht="15" customHeight="1" x14ac:dyDescent="0.25">
      <c r="A368">
        <v>2017</v>
      </c>
      <c r="B368">
        <v>64</v>
      </c>
      <c r="C368" t="s">
        <v>38</v>
      </c>
      <c r="D368" t="s">
        <v>74</v>
      </c>
      <c r="E368" s="6">
        <f t="shared" ca="1" si="16"/>
        <v>57.242839799225592</v>
      </c>
      <c r="I368" t="s">
        <v>98</v>
      </c>
      <c r="J368">
        <f>J350+1</f>
        <v>23</v>
      </c>
      <c r="K368" s="6">
        <f t="shared" ca="1" si="15"/>
        <v>57.242839799225592</v>
      </c>
    </row>
    <row r="369" spans="1:11" ht="15" customHeight="1" x14ac:dyDescent="0.25">
      <c r="K369" s="6" t="e">
        <f t="shared" ca="1" si="15"/>
        <v>#REF!</v>
      </c>
    </row>
    <row r="370" spans="1:11" ht="15" customHeight="1" x14ac:dyDescent="0.25">
      <c r="A370">
        <v>2017</v>
      </c>
      <c r="B370">
        <v>64</v>
      </c>
      <c r="C370" t="s">
        <v>38</v>
      </c>
      <c r="D370" t="s">
        <v>75</v>
      </c>
      <c r="E370" s="6">
        <f t="shared" ca="1" si="16"/>
        <v>57.242839799225592</v>
      </c>
      <c r="I370" t="s">
        <v>98</v>
      </c>
      <c r="J370">
        <f>J352+1</f>
        <v>23</v>
      </c>
      <c r="K370" s="6">
        <f t="shared" ca="1" si="15"/>
        <v>57.242839799225592</v>
      </c>
    </row>
    <row r="371" spans="1:11" ht="15" customHeight="1" x14ac:dyDescent="0.25">
      <c r="K371" s="6" t="e">
        <f t="shared" ca="1" si="15"/>
        <v>#REF!</v>
      </c>
    </row>
    <row r="372" spans="1:11" ht="15" customHeight="1" x14ac:dyDescent="0.25">
      <c r="A372">
        <v>2017</v>
      </c>
      <c r="B372">
        <v>64</v>
      </c>
      <c r="C372" t="s">
        <v>38</v>
      </c>
      <c r="D372" t="s">
        <v>76</v>
      </c>
      <c r="E372" s="6">
        <f t="shared" ca="1" si="16"/>
        <v>57.242839799225592</v>
      </c>
      <c r="I372" t="s">
        <v>98</v>
      </c>
      <c r="J372">
        <f>J354+1</f>
        <v>23</v>
      </c>
      <c r="K372" s="6">
        <f t="shared" ca="1" si="15"/>
        <v>57.242839799225592</v>
      </c>
    </row>
    <row r="373" spans="1:11" ht="15" customHeight="1" x14ac:dyDescent="0.25">
      <c r="K373" s="6" t="e">
        <f t="shared" ca="1" si="15"/>
        <v>#REF!</v>
      </c>
    </row>
    <row r="374" spans="1:11" ht="15" customHeight="1" x14ac:dyDescent="0.25">
      <c r="A374">
        <v>2017</v>
      </c>
      <c r="B374">
        <v>64</v>
      </c>
      <c r="C374" t="s">
        <v>38</v>
      </c>
      <c r="D374" t="s">
        <v>77</v>
      </c>
      <c r="E374" s="6">
        <f t="shared" ca="1" si="16"/>
        <v>20</v>
      </c>
      <c r="I374" t="s">
        <v>99</v>
      </c>
      <c r="J374">
        <f>J356+1</f>
        <v>23</v>
      </c>
      <c r="K374" s="6">
        <f t="shared" ca="1" si="15"/>
        <v>20</v>
      </c>
    </row>
    <row r="375" spans="1:11" ht="15" customHeight="1" x14ac:dyDescent="0.25">
      <c r="K375" s="6" t="e">
        <f t="shared" ca="1" si="15"/>
        <v>#REF!</v>
      </c>
    </row>
    <row r="376" spans="1:11" ht="15" customHeight="1" x14ac:dyDescent="0.25">
      <c r="A376">
        <v>2017</v>
      </c>
      <c r="B376">
        <v>64</v>
      </c>
      <c r="C376" t="s">
        <v>38</v>
      </c>
      <c r="D376" t="s">
        <v>78</v>
      </c>
      <c r="E376" s="6">
        <f t="shared" ca="1" si="16"/>
        <v>20</v>
      </c>
      <c r="I376" t="s">
        <v>99</v>
      </c>
      <c r="J376">
        <f>J358+1</f>
        <v>23</v>
      </c>
      <c r="K376" s="6">
        <f t="shared" ca="1" si="15"/>
        <v>20</v>
      </c>
    </row>
    <row r="377" spans="1:11" ht="15" customHeight="1" x14ac:dyDescent="0.25">
      <c r="K377" s="6" t="e">
        <f t="shared" ca="1" si="15"/>
        <v>#REF!</v>
      </c>
    </row>
    <row r="378" spans="1:11" ht="15" customHeight="1" x14ac:dyDescent="0.25">
      <c r="A378">
        <v>2017</v>
      </c>
      <c r="B378">
        <v>64</v>
      </c>
      <c r="C378" t="s">
        <v>38</v>
      </c>
      <c r="D378" t="s">
        <v>79</v>
      </c>
      <c r="E378" s="6">
        <f t="shared" ca="1" si="16"/>
        <v>20</v>
      </c>
      <c r="I378" t="s">
        <v>99</v>
      </c>
      <c r="J378">
        <f>J360+1</f>
        <v>23</v>
      </c>
      <c r="K378" s="6">
        <f t="shared" ca="1" si="15"/>
        <v>20</v>
      </c>
    </row>
    <row r="380" spans="1:11" ht="15" customHeight="1" x14ac:dyDescent="0.25">
      <c r="A380">
        <v>2017</v>
      </c>
      <c r="B380">
        <v>10</v>
      </c>
      <c r="C380" t="s">
        <v>39</v>
      </c>
      <c r="D380" t="s">
        <v>292</v>
      </c>
      <c r="E380" s="6">
        <f t="shared" ca="1" si="16"/>
        <v>66.077820512656615</v>
      </c>
      <c r="I380" t="s">
        <v>97</v>
      </c>
      <c r="J380">
        <f>J362+1</f>
        <v>24</v>
      </c>
      <c r="K380" s="6">
        <f ca="1">INDIRECT(CONCATENATE("'P Fertilizer Rate'!",I380,J380))</f>
        <v>66.077820512656615</v>
      </c>
    </row>
    <row r="381" spans="1:11" ht="15" customHeight="1" x14ac:dyDescent="0.25">
      <c r="K381" s="6" t="e">
        <f t="shared" ca="1" si="17"/>
        <v>#REF!</v>
      </c>
    </row>
    <row r="382" spans="1:11" ht="15" customHeight="1" x14ac:dyDescent="0.25">
      <c r="A382">
        <v>2017</v>
      </c>
      <c r="B382">
        <v>10</v>
      </c>
      <c r="C382" t="s">
        <v>39</v>
      </c>
      <c r="D382" t="s">
        <v>293</v>
      </c>
      <c r="E382" s="6">
        <f t="shared" ca="1" si="16"/>
        <v>66.077820512656615</v>
      </c>
      <c r="I382" t="s">
        <v>97</v>
      </c>
      <c r="J382">
        <f>J364+1</f>
        <v>24</v>
      </c>
      <c r="K382" s="6">
        <f t="shared" ca="1" si="17"/>
        <v>66.077820512656615</v>
      </c>
    </row>
    <row r="383" spans="1:11" ht="15" customHeight="1" x14ac:dyDescent="0.25">
      <c r="K383" s="6" t="e">
        <f t="shared" ca="1" si="17"/>
        <v>#REF!</v>
      </c>
    </row>
    <row r="384" spans="1:11" ht="15" customHeight="1" x14ac:dyDescent="0.25">
      <c r="A384">
        <v>2017</v>
      </c>
      <c r="B384">
        <v>10</v>
      </c>
      <c r="C384" t="s">
        <v>39</v>
      </c>
      <c r="D384" t="s">
        <v>294</v>
      </c>
      <c r="E384" s="6">
        <f t="shared" ca="1" si="16"/>
        <v>66.077820512656615</v>
      </c>
      <c r="I384" t="s">
        <v>97</v>
      </c>
      <c r="J384">
        <f>J366+1</f>
        <v>24</v>
      </c>
      <c r="K384" s="6">
        <f t="shared" ca="1" si="17"/>
        <v>66.077820512656615</v>
      </c>
    </row>
    <row r="385" spans="1:11" ht="15" customHeight="1" x14ac:dyDescent="0.25">
      <c r="K385" s="6" t="e">
        <f t="shared" ca="1" si="17"/>
        <v>#REF!</v>
      </c>
    </row>
    <row r="386" spans="1:11" ht="15" customHeight="1" x14ac:dyDescent="0.25">
      <c r="A386">
        <v>2017</v>
      </c>
      <c r="B386">
        <v>10</v>
      </c>
      <c r="C386" t="s">
        <v>39</v>
      </c>
      <c r="D386" t="s">
        <v>74</v>
      </c>
      <c r="E386" s="6">
        <f t="shared" ca="1" si="16"/>
        <v>52.862256410125298</v>
      </c>
      <c r="I386" t="s">
        <v>98</v>
      </c>
      <c r="J386">
        <f>J368+1</f>
        <v>24</v>
      </c>
      <c r="K386" s="6">
        <f t="shared" ca="1" si="17"/>
        <v>52.862256410125298</v>
      </c>
    </row>
    <row r="387" spans="1:11" ht="15" customHeight="1" x14ac:dyDescent="0.25">
      <c r="K387" s="6" t="e">
        <f t="shared" ca="1" si="17"/>
        <v>#REF!</v>
      </c>
    </row>
    <row r="388" spans="1:11" ht="15" customHeight="1" x14ac:dyDescent="0.25">
      <c r="A388">
        <v>2017</v>
      </c>
      <c r="B388">
        <v>10</v>
      </c>
      <c r="C388" t="s">
        <v>39</v>
      </c>
      <c r="D388" t="s">
        <v>75</v>
      </c>
      <c r="E388" s="6">
        <f t="shared" ca="1" si="16"/>
        <v>52.862256410125298</v>
      </c>
      <c r="I388" t="s">
        <v>98</v>
      </c>
      <c r="J388">
        <f>J370+1</f>
        <v>24</v>
      </c>
      <c r="K388" s="6">
        <f t="shared" ca="1" si="17"/>
        <v>52.862256410125298</v>
      </c>
    </row>
    <row r="389" spans="1:11" ht="15" customHeight="1" x14ac:dyDescent="0.25">
      <c r="K389" s="6" t="e">
        <f t="shared" ca="1" si="17"/>
        <v>#REF!</v>
      </c>
    </row>
    <row r="390" spans="1:11" ht="15" customHeight="1" x14ac:dyDescent="0.25">
      <c r="A390">
        <v>2017</v>
      </c>
      <c r="B390">
        <v>10</v>
      </c>
      <c r="C390" t="s">
        <v>39</v>
      </c>
      <c r="D390" t="s">
        <v>76</v>
      </c>
      <c r="E390" s="6">
        <f t="shared" ca="1" si="16"/>
        <v>52.862256410125298</v>
      </c>
      <c r="I390" t="s">
        <v>98</v>
      </c>
      <c r="J390">
        <f>J372+1</f>
        <v>24</v>
      </c>
      <c r="K390" s="6">
        <f t="shared" ca="1" si="17"/>
        <v>52.862256410125298</v>
      </c>
    </row>
    <row r="391" spans="1:11" ht="15" customHeight="1" x14ac:dyDescent="0.25">
      <c r="K391" s="6" t="e">
        <f t="shared" ca="1" si="17"/>
        <v>#REF!</v>
      </c>
    </row>
    <row r="392" spans="1:11" ht="15" customHeight="1" x14ac:dyDescent="0.25">
      <c r="A392">
        <v>2017</v>
      </c>
      <c r="B392">
        <v>10</v>
      </c>
      <c r="C392" t="s">
        <v>39</v>
      </c>
      <c r="D392" t="s">
        <v>77</v>
      </c>
      <c r="E392" s="6">
        <f t="shared" ca="1" si="16"/>
        <v>20</v>
      </c>
      <c r="I392" t="s">
        <v>99</v>
      </c>
      <c r="J392">
        <f>J374+1</f>
        <v>24</v>
      </c>
      <c r="K392" s="6">
        <f t="shared" ca="1" si="17"/>
        <v>20</v>
      </c>
    </row>
    <row r="393" spans="1:11" ht="15" customHeight="1" x14ac:dyDescent="0.25">
      <c r="K393" s="6" t="e">
        <f t="shared" ca="1" si="17"/>
        <v>#REF!</v>
      </c>
    </row>
    <row r="394" spans="1:11" ht="15" customHeight="1" x14ac:dyDescent="0.25">
      <c r="A394">
        <v>2017</v>
      </c>
      <c r="B394">
        <v>10</v>
      </c>
      <c r="C394" t="s">
        <v>39</v>
      </c>
      <c r="D394" t="s">
        <v>78</v>
      </c>
      <c r="E394" s="6">
        <f t="shared" ca="1" si="16"/>
        <v>20</v>
      </c>
      <c r="I394" t="s">
        <v>99</v>
      </c>
      <c r="J394">
        <f>J376+1</f>
        <v>24</v>
      </c>
      <c r="K394" s="6">
        <f t="shared" ca="1" si="17"/>
        <v>20</v>
      </c>
    </row>
    <row r="395" spans="1:11" ht="15" customHeight="1" x14ac:dyDescent="0.25">
      <c r="K395" s="6" t="e">
        <f t="shared" ca="1" si="17"/>
        <v>#REF!</v>
      </c>
    </row>
    <row r="396" spans="1:11" ht="15" customHeight="1" x14ac:dyDescent="0.25">
      <c r="A396">
        <v>2017</v>
      </c>
      <c r="B396">
        <v>10</v>
      </c>
      <c r="C396" t="s">
        <v>39</v>
      </c>
      <c r="D396" t="s">
        <v>79</v>
      </c>
      <c r="E396" s="6">
        <f t="shared" ca="1" si="16"/>
        <v>20</v>
      </c>
      <c r="I396" t="s">
        <v>99</v>
      </c>
      <c r="J396">
        <f>J378+1</f>
        <v>24</v>
      </c>
      <c r="K396" s="6">
        <f t="shared" ca="1" si="17"/>
        <v>20</v>
      </c>
    </row>
    <row r="398" spans="1:11" ht="15" customHeight="1" x14ac:dyDescent="0.25">
      <c r="A398">
        <v>2017</v>
      </c>
      <c r="B398">
        <v>25</v>
      </c>
      <c r="C398" t="s">
        <v>40</v>
      </c>
      <c r="D398" t="s">
        <v>292</v>
      </c>
      <c r="E398" s="6">
        <f t="shared" ca="1" si="16"/>
        <v>81.129118977449139</v>
      </c>
      <c r="I398" t="s">
        <v>97</v>
      </c>
      <c r="J398">
        <f>J380+1</f>
        <v>25</v>
      </c>
      <c r="K398" s="6">
        <f t="shared" ref="K398:K450" ca="1" si="18">INDIRECT(CONCATENATE("'P Fertilizer Rate'!",I398,J398))</f>
        <v>81.129118977449139</v>
      </c>
    </row>
    <row r="399" spans="1:11" ht="15" customHeight="1" x14ac:dyDescent="0.25">
      <c r="K399" s="6" t="e">
        <f t="shared" ca="1" si="18"/>
        <v>#REF!</v>
      </c>
    </row>
    <row r="400" spans="1:11" ht="15" customHeight="1" x14ac:dyDescent="0.25">
      <c r="A400">
        <v>2017</v>
      </c>
      <c r="B400">
        <v>25</v>
      </c>
      <c r="C400" t="s">
        <v>40</v>
      </c>
      <c r="D400" t="s">
        <v>293</v>
      </c>
      <c r="E400" s="6">
        <f t="shared" ca="1" si="16"/>
        <v>81.129118977449139</v>
      </c>
      <c r="I400" t="s">
        <v>97</v>
      </c>
      <c r="J400">
        <f>J382+1</f>
        <v>25</v>
      </c>
      <c r="K400" s="6">
        <f t="shared" ca="1" si="18"/>
        <v>81.129118977449139</v>
      </c>
    </row>
    <row r="401" spans="1:11" ht="15" customHeight="1" x14ac:dyDescent="0.25">
      <c r="K401" s="6" t="e">
        <f t="shared" ca="1" si="18"/>
        <v>#REF!</v>
      </c>
    </row>
    <row r="402" spans="1:11" ht="15" customHeight="1" x14ac:dyDescent="0.25">
      <c r="A402">
        <v>2017</v>
      </c>
      <c r="B402">
        <v>25</v>
      </c>
      <c r="C402" t="s">
        <v>40</v>
      </c>
      <c r="D402" t="s">
        <v>294</v>
      </c>
      <c r="E402" s="6">
        <f t="shared" ref="E402:E464" ca="1" si="19">K402</f>
        <v>81.129118977449139</v>
      </c>
      <c r="I402" t="s">
        <v>97</v>
      </c>
      <c r="J402">
        <f>J384+1</f>
        <v>25</v>
      </c>
      <c r="K402" s="6">
        <f t="shared" ca="1" si="18"/>
        <v>81.129118977449139</v>
      </c>
    </row>
    <row r="403" spans="1:11" ht="15" customHeight="1" x14ac:dyDescent="0.25">
      <c r="K403" s="6" t="e">
        <f t="shared" ca="1" si="18"/>
        <v>#REF!</v>
      </c>
    </row>
    <row r="404" spans="1:11" ht="15" customHeight="1" x14ac:dyDescent="0.25">
      <c r="A404">
        <v>2017</v>
      </c>
      <c r="B404">
        <v>25</v>
      </c>
      <c r="C404" t="s">
        <v>40</v>
      </c>
      <c r="D404" t="s">
        <v>74</v>
      </c>
      <c r="E404" s="6">
        <f t="shared" ca="1" si="19"/>
        <v>64.903295181959308</v>
      </c>
      <c r="I404" t="s">
        <v>98</v>
      </c>
      <c r="J404">
        <f>J386+1</f>
        <v>25</v>
      </c>
      <c r="K404" s="6">
        <f t="shared" ca="1" si="18"/>
        <v>64.903295181959308</v>
      </c>
    </row>
    <row r="405" spans="1:11" ht="15" customHeight="1" x14ac:dyDescent="0.25">
      <c r="K405" s="6" t="e">
        <f t="shared" ca="1" si="18"/>
        <v>#REF!</v>
      </c>
    </row>
    <row r="406" spans="1:11" ht="15" customHeight="1" x14ac:dyDescent="0.25">
      <c r="A406">
        <v>2017</v>
      </c>
      <c r="B406">
        <v>25</v>
      </c>
      <c r="C406" t="s">
        <v>40</v>
      </c>
      <c r="D406" t="s">
        <v>75</v>
      </c>
      <c r="E406" s="6">
        <f t="shared" ca="1" si="19"/>
        <v>64.903295181959308</v>
      </c>
      <c r="I406" t="s">
        <v>98</v>
      </c>
      <c r="J406">
        <f>J388+1</f>
        <v>25</v>
      </c>
      <c r="K406" s="6">
        <f t="shared" ca="1" si="18"/>
        <v>64.903295181959308</v>
      </c>
    </row>
    <row r="407" spans="1:11" ht="15" customHeight="1" x14ac:dyDescent="0.25">
      <c r="K407" s="6" t="e">
        <f t="shared" ca="1" si="18"/>
        <v>#REF!</v>
      </c>
    </row>
    <row r="408" spans="1:11" ht="15" customHeight="1" x14ac:dyDescent="0.25">
      <c r="A408">
        <v>2017</v>
      </c>
      <c r="B408">
        <v>25</v>
      </c>
      <c r="C408" t="s">
        <v>40</v>
      </c>
      <c r="D408" t="s">
        <v>76</v>
      </c>
      <c r="E408" s="6">
        <f t="shared" ca="1" si="19"/>
        <v>64.903295181959308</v>
      </c>
      <c r="I408" t="s">
        <v>98</v>
      </c>
      <c r="J408">
        <f>J390+1</f>
        <v>25</v>
      </c>
      <c r="K408" s="6">
        <f t="shared" ca="1" si="18"/>
        <v>64.903295181959308</v>
      </c>
    </row>
    <row r="409" spans="1:11" ht="15" customHeight="1" x14ac:dyDescent="0.25">
      <c r="K409" s="6" t="e">
        <f t="shared" ca="1" si="18"/>
        <v>#REF!</v>
      </c>
    </row>
    <row r="410" spans="1:11" ht="15" customHeight="1" x14ac:dyDescent="0.25">
      <c r="A410">
        <v>2017</v>
      </c>
      <c r="B410">
        <v>25</v>
      </c>
      <c r="C410" t="s">
        <v>40</v>
      </c>
      <c r="D410" t="s">
        <v>77</v>
      </c>
      <c r="E410" s="6">
        <f t="shared" ca="1" si="19"/>
        <v>20</v>
      </c>
      <c r="I410" t="s">
        <v>99</v>
      </c>
      <c r="J410">
        <f>J392+1</f>
        <v>25</v>
      </c>
      <c r="K410" s="6">
        <f t="shared" ca="1" si="18"/>
        <v>20</v>
      </c>
    </row>
    <row r="411" spans="1:11" ht="15" customHeight="1" x14ac:dyDescent="0.25">
      <c r="K411" s="6" t="e">
        <f t="shared" ca="1" si="18"/>
        <v>#REF!</v>
      </c>
    </row>
    <row r="412" spans="1:11" ht="15" customHeight="1" x14ac:dyDescent="0.25">
      <c r="A412">
        <v>2017</v>
      </c>
      <c r="B412">
        <v>25</v>
      </c>
      <c r="C412" t="s">
        <v>40</v>
      </c>
      <c r="D412" t="s">
        <v>78</v>
      </c>
      <c r="E412" s="6">
        <f t="shared" ca="1" si="19"/>
        <v>20</v>
      </c>
      <c r="I412" t="s">
        <v>99</v>
      </c>
      <c r="J412">
        <f>J394+1</f>
        <v>25</v>
      </c>
      <c r="K412" s="6">
        <f t="shared" ca="1" si="18"/>
        <v>20</v>
      </c>
    </row>
    <row r="413" spans="1:11" ht="15" customHeight="1" x14ac:dyDescent="0.25">
      <c r="K413" s="6" t="e">
        <f t="shared" ca="1" si="18"/>
        <v>#REF!</v>
      </c>
    </row>
    <row r="414" spans="1:11" ht="15" customHeight="1" x14ac:dyDescent="0.25">
      <c r="A414">
        <v>2017</v>
      </c>
      <c r="B414">
        <v>25</v>
      </c>
      <c r="C414" t="s">
        <v>40</v>
      </c>
      <c r="D414" t="s">
        <v>79</v>
      </c>
      <c r="E414" s="6">
        <f t="shared" ca="1" si="19"/>
        <v>20</v>
      </c>
      <c r="I414" t="s">
        <v>99</v>
      </c>
      <c r="J414">
        <f>J396+1</f>
        <v>25</v>
      </c>
      <c r="K414" s="6">
        <f t="shared" ca="1" si="18"/>
        <v>20</v>
      </c>
    </row>
    <row r="416" spans="1:11" ht="15" customHeight="1" x14ac:dyDescent="0.25">
      <c r="A416">
        <v>2017</v>
      </c>
      <c r="B416">
        <v>34</v>
      </c>
      <c r="C416" t="s">
        <v>41</v>
      </c>
      <c r="D416" t="s">
        <v>292</v>
      </c>
      <c r="E416" s="6">
        <f t="shared" ca="1" si="19"/>
        <v>100.53815397832226</v>
      </c>
      <c r="I416" t="s">
        <v>97</v>
      </c>
      <c r="J416">
        <f>J398+1</f>
        <v>26</v>
      </c>
      <c r="K416" s="6">
        <f t="shared" ref="K416:K468" ca="1" si="20">INDIRECT(CONCATENATE("'P Fertilizer Rate'!",I416,J416))</f>
        <v>100.53815397832226</v>
      </c>
    </row>
    <row r="417" spans="1:11" ht="15" customHeight="1" x14ac:dyDescent="0.25">
      <c r="K417" s="6" t="e">
        <f t="shared" ca="1" si="20"/>
        <v>#REF!</v>
      </c>
    </row>
    <row r="418" spans="1:11" ht="15" customHeight="1" x14ac:dyDescent="0.25">
      <c r="A418">
        <v>2017</v>
      </c>
      <c r="B418">
        <v>34</v>
      </c>
      <c r="C418" t="s">
        <v>41</v>
      </c>
      <c r="D418" t="s">
        <v>293</v>
      </c>
      <c r="E418" s="6">
        <f t="shared" ca="1" si="19"/>
        <v>100.53815397832226</v>
      </c>
      <c r="I418" t="s">
        <v>97</v>
      </c>
      <c r="J418">
        <f>J400+1</f>
        <v>26</v>
      </c>
      <c r="K418" s="6">
        <f t="shared" ca="1" si="20"/>
        <v>100.53815397832226</v>
      </c>
    </row>
    <row r="419" spans="1:11" ht="15" customHeight="1" x14ac:dyDescent="0.25">
      <c r="K419" s="6" t="e">
        <f t="shared" ca="1" si="20"/>
        <v>#REF!</v>
      </c>
    </row>
    <row r="420" spans="1:11" ht="15" customHeight="1" x14ac:dyDescent="0.25">
      <c r="A420">
        <v>2017</v>
      </c>
      <c r="B420">
        <v>34</v>
      </c>
      <c r="C420" t="s">
        <v>41</v>
      </c>
      <c r="D420" t="s">
        <v>294</v>
      </c>
      <c r="E420" s="6">
        <f t="shared" ca="1" si="19"/>
        <v>100.53815397832226</v>
      </c>
      <c r="I420" t="s">
        <v>97</v>
      </c>
      <c r="J420">
        <f>J402+1</f>
        <v>26</v>
      </c>
      <c r="K420" s="6">
        <f t="shared" ca="1" si="20"/>
        <v>100.53815397832226</v>
      </c>
    </row>
    <row r="421" spans="1:11" ht="15" customHeight="1" x14ac:dyDescent="0.25">
      <c r="K421" s="6" t="e">
        <f t="shared" ca="1" si="20"/>
        <v>#REF!</v>
      </c>
    </row>
    <row r="422" spans="1:11" ht="15" customHeight="1" x14ac:dyDescent="0.25">
      <c r="A422">
        <v>2017</v>
      </c>
      <c r="B422">
        <v>34</v>
      </c>
      <c r="C422" t="s">
        <v>41</v>
      </c>
      <c r="D422" t="s">
        <v>74</v>
      </c>
      <c r="E422" s="6">
        <f t="shared" ca="1" si="19"/>
        <v>80.430523182657808</v>
      </c>
      <c r="I422" t="s">
        <v>98</v>
      </c>
      <c r="J422">
        <f>J404+1</f>
        <v>26</v>
      </c>
      <c r="K422" s="6">
        <f t="shared" ca="1" si="20"/>
        <v>80.430523182657808</v>
      </c>
    </row>
    <row r="423" spans="1:11" ht="15" customHeight="1" x14ac:dyDescent="0.25">
      <c r="K423" s="6" t="e">
        <f t="shared" ca="1" si="20"/>
        <v>#REF!</v>
      </c>
    </row>
    <row r="424" spans="1:11" ht="15" customHeight="1" x14ac:dyDescent="0.25">
      <c r="A424">
        <v>2017</v>
      </c>
      <c r="B424">
        <v>34</v>
      </c>
      <c r="C424" t="s">
        <v>41</v>
      </c>
      <c r="D424" t="s">
        <v>75</v>
      </c>
      <c r="E424" s="6">
        <f t="shared" ca="1" si="19"/>
        <v>80.430523182657808</v>
      </c>
      <c r="I424" t="s">
        <v>98</v>
      </c>
      <c r="J424">
        <f>J406+1</f>
        <v>26</v>
      </c>
      <c r="K424" s="6">
        <f t="shared" ca="1" si="20"/>
        <v>80.430523182657808</v>
      </c>
    </row>
    <row r="425" spans="1:11" ht="15" customHeight="1" x14ac:dyDescent="0.25">
      <c r="K425" s="6" t="e">
        <f t="shared" ca="1" si="20"/>
        <v>#REF!</v>
      </c>
    </row>
    <row r="426" spans="1:11" ht="15" customHeight="1" x14ac:dyDescent="0.25">
      <c r="A426">
        <v>2017</v>
      </c>
      <c r="B426">
        <v>34</v>
      </c>
      <c r="C426" t="s">
        <v>41</v>
      </c>
      <c r="D426" t="s">
        <v>76</v>
      </c>
      <c r="E426" s="6">
        <f t="shared" ca="1" si="19"/>
        <v>80.430523182657808</v>
      </c>
      <c r="I426" t="s">
        <v>98</v>
      </c>
      <c r="J426">
        <f>J408+1</f>
        <v>26</v>
      </c>
      <c r="K426" s="6">
        <f t="shared" ca="1" si="20"/>
        <v>80.430523182657808</v>
      </c>
    </row>
    <row r="427" spans="1:11" ht="15" customHeight="1" x14ac:dyDescent="0.25">
      <c r="K427" s="6" t="e">
        <f t="shared" ca="1" si="20"/>
        <v>#REF!</v>
      </c>
    </row>
    <row r="428" spans="1:11" ht="15" customHeight="1" x14ac:dyDescent="0.25">
      <c r="A428">
        <v>2017</v>
      </c>
      <c r="B428">
        <v>34</v>
      </c>
      <c r="C428" t="s">
        <v>41</v>
      </c>
      <c r="D428" t="s">
        <v>77</v>
      </c>
      <c r="E428" s="6">
        <f t="shared" ca="1" si="19"/>
        <v>20</v>
      </c>
      <c r="I428" t="s">
        <v>99</v>
      </c>
      <c r="J428">
        <f>J410+1</f>
        <v>26</v>
      </c>
      <c r="K428" s="6">
        <f t="shared" ca="1" si="20"/>
        <v>20</v>
      </c>
    </row>
    <row r="429" spans="1:11" ht="15" customHeight="1" x14ac:dyDescent="0.25">
      <c r="K429" s="6" t="e">
        <f t="shared" ca="1" si="20"/>
        <v>#REF!</v>
      </c>
    </row>
    <row r="430" spans="1:11" ht="15" customHeight="1" x14ac:dyDescent="0.25">
      <c r="A430">
        <v>2017</v>
      </c>
      <c r="B430">
        <v>34</v>
      </c>
      <c r="C430" t="s">
        <v>41</v>
      </c>
      <c r="D430" t="s">
        <v>78</v>
      </c>
      <c r="E430" s="6">
        <f t="shared" ca="1" si="19"/>
        <v>20</v>
      </c>
      <c r="I430" t="s">
        <v>99</v>
      </c>
      <c r="J430">
        <f>J412+1</f>
        <v>26</v>
      </c>
      <c r="K430" s="6">
        <f t="shared" ca="1" si="20"/>
        <v>20</v>
      </c>
    </row>
    <row r="431" spans="1:11" ht="15" customHeight="1" x14ac:dyDescent="0.25">
      <c r="K431" s="6" t="e">
        <f t="shared" ca="1" si="20"/>
        <v>#REF!</v>
      </c>
    </row>
    <row r="432" spans="1:11" ht="15" customHeight="1" x14ac:dyDescent="0.25">
      <c r="A432">
        <v>2017</v>
      </c>
      <c r="B432">
        <v>34</v>
      </c>
      <c r="C432" t="s">
        <v>41</v>
      </c>
      <c r="D432" t="s">
        <v>79</v>
      </c>
      <c r="E432" s="6">
        <f t="shared" ca="1" si="19"/>
        <v>20</v>
      </c>
      <c r="I432" t="s">
        <v>99</v>
      </c>
      <c r="J432">
        <f>J414+1</f>
        <v>26</v>
      </c>
      <c r="K432" s="6">
        <f t="shared" ca="1" si="20"/>
        <v>20</v>
      </c>
    </row>
    <row r="434" spans="1:11" ht="15" customHeight="1" x14ac:dyDescent="0.25">
      <c r="A434">
        <v>2017</v>
      </c>
      <c r="B434">
        <v>87</v>
      </c>
      <c r="C434" t="s">
        <v>42</v>
      </c>
      <c r="D434" t="s">
        <v>292</v>
      </c>
      <c r="E434" s="6">
        <f t="shared" ca="1" si="19"/>
        <v>81.356081170293564</v>
      </c>
      <c r="I434" t="s">
        <v>97</v>
      </c>
      <c r="J434">
        <f>J416+1</f>
        <v>27</v>
      </c>
      <c r="K434" s="6">
        <f ca="1">INDIRECT(CONCATENATE("'P Fertilizer Rate'!",I434,J434))</f>
        <v>81.356081170293564</v>
      </c>
    </row>
    <row r="435" spans="1:11" ht="15" customHeight="1" x14ac:dyDescent="0.25">
      <c r="K435" s="6" t="e">
        <f t="shared" ca="1" si="18"/>
        <v>#REF!</v>
      </c>
    </row>
    <row r="436" spans="1:11" ht="15" customHeight="1" x14ac:dyDescent="0.25">
      <c r="A436">
        <v>2017</v>
      </c>
      <c r="B436">
        <v>87</v>
      </c>
      <c r="C436" t="s">
        <v>42</v>
      </c>
      <c r="D436" t="s">
        <v>293</v>
      </c>
      <c r="E436" s="6">
        <f t="shared" ca="1" si="19"/>
        <v>81.356081170293564</v>
      </c>
      <c r="I436" t="s">
        <v>97</v>
      </c>
      <c r="J436">
        <f>J418+1</f>
        <v>27</v>
      </c>
      <c r="K436" s="6">
        <f t="shared" ca="1" si="18"/>
        <v>81.356081170293564</v>
      </c>
    </row>
    <row r="437" spans="1:11" ht="15" customHeight="1" x14ac:dyDescent="0.25">
      <c r="K437" s="6" t="e">
        <f t="shared" ca="1" si="18"/>
        <v>#REF!</v>
      </c>
    </row>
    <row r="438" spans="1:11" ht="15" customHeight="1" x14ac:dyDescent="0.25">
      <c r="A438">
        <v>2017</v>
      </c>
      <c r="B438">
        <v>87</v>
      </c>
      <c r="C438" t="s">
        <v>42</v>
      </c>
      <c r="D438" t="s">
        <v>294</v>
      </c>
      <c r="E438" s="6">
        <f t="shared" ca="1" si="19"/>
        <v>81.356081170293564</v>
      </c>
      <c r="I438" t="s">
        <v>97</v>
      </c>
      <c r="J438">
        <f>J420+1</f>
        <v>27</v>
      </c>
      <c r="K438" s="6">
        <f t="shared" ca="1" si="18"/>
        <v>81.356081170293564</v>
      </c>
    </row>
    <row r="439" spans="1:11" ht="15" customHeight="1" x14ac:dyDescent="0.25">
      <c r="K439" s="6" t="e">
        <f t="shared" ca="1" si="18"/>
        <v>#REF!</v>
      </c>
    </row>
    <row r="440" spans="1:11" ht="15" customHeight="1" x14ac:dyDescent="0.25">
      <c r="A440">
        <v>2017</v>
      </c>
      <c r="B440">
        <v>87</v>
      </c>
      <c r="C440" t="s">
        <v>42</v>
      </c>
      <c r="D440" t="s">
        <v>74</v>
      </c>
      <c r="E440" s="6">
        <f t="shared" ca="1" si="19"/>
        <v>65.084864936234851</v>
      </c>
      <c r="I440" t="s">
        <v>98</v>
      </c>
      <c r="J440">
        <f>J422+1</f>
        <v>27</v>
      </c>
      <c r="K440" s="6">
        <f t="shared" ca="1" si="18"/>
        <v>65.084864936234851</v>
      </c>
    </row>
    <row r="441" spans="1:11" ht="15" customHeight="1" x14ac:dyDescent="0.25">
      <c r="K441" s="6" t="e">
        <f t="shared" ca="1" si="18"/>
        <v>#REF!</v>
      </c>
    </row>
    <row r="442" spans="1:11" ht="15" customHeight="1" x14ac:dyDescent="0.25">
      <c r="A442">
        <v>2017</v>
      </c>
      <c r="B442">
        <v>87</v>
      </c>
      <c r="C442" t="s">
        <v>42</v>
      </c>
      <c r="D442" t="s">
        <v>75</v>
      </c>
      <c r="E442" s="6">
        <f t="shared" ca="1" si="19"/>
        <v>65.084864936234851</v>
      </c>
      <c r="I442" t="s">
        <v>98</v>
      </c>
      <c r="J442">
        <f>J424+1</f>
        <v>27</v>
      </c>
      <c r="K442" s="6">
        <f t="shared" ca="1" si="18"/>
        <v>65.084864936234851</v>
      </c>
    </row>
    <row r="443" spans="1:11" ht="15" customHeight="1" x14ac:dyDescent="0.25">
      <c r="K443" s="6" t="e">
        <f t="shared" ca="1" si="18"/>
        <v>#REF!</v>
      </c>
    </row>
    <row r="444" spans="1:11" ht="15" customHeight="1" x14ac:dyDescent="0.25">
      <c r="A444">
        <v>2017</v>
      </c>
      <c r="B444">
        <v>87</v>
      </c>
      <c r="C444" t="s">
        <v>42</v>
      </c>
      <c r="D444" t="s">
        <v>76</v>
      </c>
      <c r="E444" s="6">
        <f t="shared" ca="1" si="19"/>
        <v>65.084864936234851</v>
      </c>
      <c r="I444" t="s">
        <v>98</v>
      </c>
      <c r="J444">
        <f>J426+1</f>
        <v>27</v>
      </c>
      <c r="K444" s="6">
        <f t="shared" ca="1" si="18"/>
        <v>65.084864936234851</v>
      </c>
    </row>
    <row r="445" spans="1:11" ht="15" customHeight="1" x14ac:dyDescent="0.25">
      <c r="K445" s="6" t="e">
        <f t="shared" ca="1" si="18"/>
        <v>#REF!</v>
      </c>
    </row>
    <row r="446" spans="1:11" ht="15" customHeight="1" x14ac:dyDescent="0.25">
      <c r="A446">
        <v>2017</v>
      </c>
      <c r="B446">
        <v>87</v>
      </c>
      <c r="C446" t="s">
        <v>42</v>
      </c>
      <c r="D446" t="s">
        <v>77</v>
      </c>
      <c r="E446" s="6">
        <f t="shared" ca="1" si="19"/>
        <v>20</v>
      </c>
      <c r="I446" t="s">
        <v>99</v>
      </c>
      <c r="J446">
        <f>J428+1</f>
        <v>27</v>
      </c>
      <c r="K446" s="6">
        <f t="shared" ca="1" si="18"/>
        <v>20</v>
      </c>
    </row>
    <row r="447" spans="1:11" ht="15" customHeight="1" x14ac:dyDescent="0.25">
      <c r="K447" s="6" t="e">
        <f t="shared" ca="1" si="18"/>
        <v>#REF!</v>
      </c>
    </row>
    <row r="448" spans="1:11" ht="15" customHeight="1" x14ac:dyDescent="0.25">
      <c r="A448">
        <v>2017</v>
      </c>
      <c r="B448">
        <v>87</v>
      </c>
      <c r="C448" t="s">
        <v>42</v>
      </c>
      <c r="D448" t="s">
        <v>78</v>
      </c>
      <c r="E448" s="6">
        <f t="shared" ca="1" si="19"/>
        <v>20</v>
      </c>
      <c r="I448" t="s">
        <v>99</v>
      </c>
      <c r="J448">
        <f>J430+1</f>
        <v>27</v>
      </c>
      <c r="K448" s="6">
        <f t="shared" ca="1" si="18"/>
        <v>20</v>
      </c>
    </row>
    <row r="449" spans="1:11" ht="15" customHeight="1" x14ac:dyDescent="0.25">
      <c r="K449" s="6" t="e">
        <f t="shared" ca="1" si="18"/>
        <v>#REF!</v>
      </c>
    </row>
    <row r="450" spans="1:11" ht="15" customHeight="1" x14ac:dyDescent="0.25">
      <c r="A450">
        <v>2017</v>
      </c>
      <c r="B450">
        <v>87</v>
      </c>
      <c r="C450" t="s">
        <v>42</v>
      </c>
      <c r="D450" t="s">
        <v>79</v>
      </c>
      <c r="E450" s="6">
        <f t="shared" ca="1" si="19"/>
        <v>20</v>
      </c>
      <c r="I450" t="s">
        <v>99</v>
      </c>
      <c r="J450">
        <f>J432+1</f>
        <v>27</v>
      </c>
      <c r="K450" s="6">
        <f t="shared" ca="1" si="18"/>
        <v>20</v>
      </c>
    </row>
    <row r="452" spans="1:11" ht="15" customHeight="1" x14ac:dyDescent="0.25">
      <c r="A452">
        <v>2017</v>
      </c>
      <c r="B452">
        <v>44</v>
      </c>
      <c r="C452" t="s">
        <v>93</v>
      </c>
      <c r="D452" t="s">
        <v>292</v>
      </c>
      <c r="E452" s="6">
        <f t="shared" ca="1" si="19"/>
        <v>104.07273105182725</v>
      </c>
      <c r="I452" t="s">
        <v>97</v>
      </c>
      <c r="J452">
        <f>J434+1</f>
        <v>28</v>
      </c>
      <c r="K452" s="6">
        <f ca="1">INDIRECT(CONCATENATE("'P Fertilizer Rate'!",I452,J452))</f>
        <v>104.07273105182725</v>
      </c>
    </row>
    <row r="453" spans="1:11" ht="15" customHeight="1" x14ac:dyDescent="0.25">
      <c r="K453" s="6" t="e">
        <f t="shared" ca="1" si="20"/>
        <v>#REF!</v>
      </c>
    </row>
    <row r="454" spans="1:11" ht="15" customHeight="1" x14ac:dyDescent="0.25">
      <c r="A454">
        <v>2017</v>
      </c>
      <c r="B454">
        <v>44</v>
      </c>
      <c r="C454" t="s">
        <v>93</v>
      </c>
      <c r="D454" t="s">
        <v>293</v>
      </c>
      <c r="E454" s="6">
        <f t="shared" ca="1" si="19"/>
        <v>104.07273105182725</v>
      </c>
      <c r="I454" t="s">
        <v>97</v>
      </c>
      <c r="J454">
        <f>J436+1</f>
        <v>28</v>
      </c>
      <c r="K454" s="6">
        <f t="shared" ca="1" si="20"/>
        <v>104.07273105182725</v>
      </c>
    </row>
    <row r="455" spans="1:11" ht="15" customHeight="1" x14ac:dyDescent="0.25">
      <c r="K455" s="6" t="e">
        <f t="shared" ca="1" si="20"/>
        <v>#REF!</v>
      </c>
    </row>
    <row r="456" spans="1:11" ht="15" customHeight="1" x14ac:dyDescent="0.25">
      <c r="A456">
        <v>2017</v>
      </c>
      <c r="B456">
        <v>44</v>
      </c>
      <c r="C456" t="s">
        <v>93</v>
      </c>
      <c r="D456" t="s">
        <v>294</v>
      </c>
      <c r="E456" s="6">
        <f t="shared" ca="1" si="19"/>
        <v>104.07273105182725</v>
      </c>
      <c r="I456" t="s">
        <v>97</v>
      </c>
      <c r="J456">
        <f>J438+1</f>
        <v>28</v>
      </c>
      <c r="K456" s="6">
        <f t="shared" ca="1" si="20"/>
        <v>104.07273105182725</v>
      </c>
    </row>
    <row r="457" spans="1:11" ht="15" customHeight="1" x14ac:dyDescent="0.25">
      <c r="K457" s="6" t="e">
        <f t="shared" ca="1" si="20"/>
        <v>#REF!</v>
      </c>
    </row>
    <row r="458" spans="1:11" ht="15" customHeight="1" x14ac:dyDescent="0.25">
      <c r="A458">
        <v>2017</v>
      </c>
      <c r="B458">
        <v>44</v>
      </c>
      <c r="C458" t="s">
        <v>93</v>
      </c>
      <c r="D458" t="s">
        <v>74</v>
      </c>
      <c r="E458" s="6">
        <f t="shared" ca="1" si="19"/>
        <v>83.258184841461798</v>
      </c>
      <c r="I458" t="s">
        <v>98</v>
      </c>
      <c r="J458">
        <f>J440+1</f>
        <v>28</v>
      </c>
      <c r="K458" s="6">
        <f t="shared" ca="1" si="20"/>
        <v>83.258184841461798</v>
      </c>
    </row>
    <row r="459" spans="1:11" ht="15" customHeight="1" x14ac:dyDescent="0.25">
      <c r="K459" s="6" t="e">
        <f t="shared" ca="1" si="20"/>
        <v>#REF!</v>
      </c>
    </row>
    <row r="460" spans="1:11" ht="15" customHeight="1" x14ac:dyDescent="0.25">
      <c r="A460">
        <v>2017</v>
      </c>
      <c r="B460">
        <v>44</v>
      </c>
      <c r="C460" t="s">
        <v>93</v>
      </c>
      <c r="D460" t="s">
        <v>75</v>
      </c>
      <c r="E460" s="6">
        <f t="shared" ca="1" si="19"/>
        <v>83.258184841461798</v>
      </c>
      <c r="I460" t="s">
        <v>98</v>
      </c>
      <c r="J460">
        <f>J442+1</f>
        <v>28</v>
      </c>
      <c r="K460" s="6">
        <f t="shared" ca="1" si="20"/>
        <v>83.258184841461798</v>
      </c>
    </row>
    <row r="461" spans="1:11" ht="15" customHeight="1" x14ac:dyDescent="0.25">
      <c r="K461" s="6" t="e">
        <f t="shared" ca="1" si="20"/>
        <v>#REF!</v>
      </c>
    </row>
    <row r="462" spans="1:11" ht="15" customHeight="1" x14ac:dyDescent="0.25">
      <c r="A462">
        <v>2017</v>
      </c>
      <c r="B462">
        <v>44</v>
      </c>
      <c r="C462" t="s">
        <v>93</v>
      </c>
      <c r="D462" t="s">
        <v>76</v>
      </c>
      <c r="E462" s="6">
        <f t="shared" ca="1" si="19"/>
        <v>83.258184841461798</v>
      </c>
      <c r="I462" t="s">
        <v>98</v>
      </c>
      <c r="J462">
        <f>J444+1</f>
        <v>28</v>
      </c>
      <c r="K462" s="6">
        <f t="shared" ca="1" si="20"/>
        <v>83.258184841461798</v>
      </c>
    </row>
    <row r="463" spans="1:11" ht="15" customHeight="1" x14ac:dyDescent="0.25">
      <c r="K463" s="6" t="e">
        <f t="shared" ca="1" si="20"/>
        <v>#REF!</v>
      </c>
    </row>
    <row r="464" spans="1:11" ht="15" customHeight="1" x14ac:dyDescent="0.25">
      <c r="A464">
        <v>2017</v>
      </c>
      <c r="B464">
        <v>44</v>
      </c>
      <c r="C464" t="s">
        <v>93</v>
      </c>
      <c r="D464" t="s">
        <v>77</v>
      </c>
      <c r="E464" s="6">
        <f t="shared" ca="1" si="19"/>
        <v>20</v>
      </c>
      <c r="I464" t="s">
        <v>99</v>
      </c>
      <c r="J464">
        <f>J446+1</f>
        <v>28</v>
      </c>
      <c r="K464" s="6">
        <f t="shared" ca="1" si="20"/>
        <v>20</v>
      </c>
    </row>
    <row r="465" spans="1:11" ht="15" customHeight="1" x14ac:dyDescent="0.25">
      <c r="K465" s="6" t="e">
        <f t="shared" ca="1" si="20"/>
        <v>#REF!</v>
      </c>
    </row>
    <row r="466" spans="1:11" ht="15" customHeight="1" x14ac:dyDescent="0.25">
      <c r="A466">
        <v>2017</v>
      </c>
      <c r="B466">
        <v>44</v>
      </c>
      <c r="C466" t="s">
        <v>93</v>
      </c>
      <c r="D466" t="s">
        <v>78</v>
      </c>
      <c r="E466" s="6">
        <f t="shared" ref="E466:E528" ca="1" si="21">K466</f>
        <v>20</v>
      </c>
      <c r="I466" t="s">
        <v>99</v>
      </c>
      <c r="J466">
        <f>J448+1</f>
        <v>28</v>
      </c>
      <c r="K466" s="6">
        <f t="shared" ca="1" si="20"/>
        <v>20</v>
      </c>
    </row>
    <row r="467" spans="1:11" ht="15" customHeight="1" x14ac:dyDescent="0.25">
      <c r="K467" s="6" t="e">
        <f t="shared" ca="1" si="20"/>
        <v>#REF!</v>
      </c>
    </row>
    <row r="468" spans="1:11" ht="15" customHeight="1" x14ac:dyDescent="0.25">
      <c r="A468">
        <v>2017</v>
      </c>
      <c r="B468">
        <v>44</v>
      </c>
      <c r="C468" t="s">
        <v>93</v>
      </c>
      <c r="D468" t="s">
        <v>79</v>
      </c>
      <c r="E468" s="6">
        <f t="shared" ca="1" si="21"/>
        <v>20</v>
      </c>
      <c r="I468" t="s">
        <v>99</v>
      </c>
      <c r="J468">
        <f>J450+1</f>
        <v>28</v>
      </c>
      <c r="K468" s="6">
        <f t="shared" ca="1" si="20"/>
        <v>20</v>
      </c>
    </row>
    <row r="470" spans="1:11" ht="15" customHeight="1" x14ac:dyDescent="0.25">
      <c r="A470">
        <v>2017</v>
      </c>
      <c r="B470">
        <v>20</v>
      </c>
      <c r="C470" t="s">
        <v>44</v>
      </c>
      <c r="D470" t="s">
        <v>292</v>
      </c>
      <c r="E470" s="6">
        <f t="shared" ca="1" si="21"/>
        <v>86.805731257015651</v>
      </c>
      <c r="I470" t="s">
        <v>97</v>
      </c>
      <c r="J470">
        <f>J452+1</f>
        <v>29</v>
      </c>
      <c r="K470" s="6">
        <f t="shared" ref="K470:K522" ca="1" si="22">INDIRECT(CONCATENATE("'P Fertilizer Rate'!",I470,J470))</f>
        <v>86.805731257015651</v>
      </c>
    </row>
    <row r="471" spans="1:11" ht="15" customHeight="1" x14ac:dyDescent="0.25">
      <c r="K471" s="6" t="e">
        <f t="shared" ca="1" si="22"/>
        <v>#REF!</v>
      </c>
    </row>
    <row r="472" spans="1:11" ht="15" customHeight="1" x14ac:dyDescent="0.25">
      <c r="A472">
        <v>2017</v>
      </c>
      <c r="B472">
        <v>20</v>
      </c>
      <c r="C472" t="s">
        <v>44</v>
      </c>
      <c r="D472" t="s">
        <v>293</v>
      </c>
      <c r="E472" s="6">
        <f t="shared" ca="1" si="21"/>
        <v>86.805731257015651</v>
      </c>
      <c r="I472" t="s">
        <v>97</v>
      </c>
      <c r="J472">
        <f>J454+1</f>
        <v>29</v>
      </c>
      <c r="K472" s="6">
        <f t="shared" ca="1" si="22"/>
        <v>86.805731257015651</v>
      </c>
    </row>
    <row r="473" spans="1:11" ht="15" customHeight="1" x14ac:dyDescent="0.25">
      <c r="K473" s="6" t="e">
        <f t="shared" ca="1" si="22"/>
        <v>#REF!</v>
      </c>
    </row>
    <row r="474" spans="1:11" ht="15" customHeight="1" x14ac:dyDescent="0.25">
      <c r="A474">
        <v>2017</v>
      </c>
      <c r="B474">
        <v>20</v>
      </c>
      <c r="C474" t="s">
        <v>44</v>
      </c>
      <c r="D474" t="s">
        <v>294</v>
      </c>
      <c r="E474" s="6">
        <f t="shared" ca="1" si="21"/>
        <v>86.805731257015651</v>
      </c>
      <c r="I474" t="s">
        <v>97</v>
      </c>
      <c r="J474">
        <f>J456+1</f>
        <v>29</v>
      </c>
      <c r="K474" s="6">
        <f t="shared" ca="1" si="22"/>
        <v>86.805731257015651</v>
      </c>
    </row>
    <row r="475" spans="1:11" ht="15" customHeight="1" x14ac:dyDescent="0.25">
      <c r="K475" s="6" t="e">
        <f t="shared" ca="1" si="22"/>
        <v>#REF!</v>
      </c>
    </row>
    <row r="476" spans="1:11" ht="15" customHeight="1" x14ac:dyDescent="0.25">
      <c r="A476">
        <v>2017</v>
      </c>
      <c r="B476">
        <v>20</v>
      </c>
      <c r="C476" t="s">
        <v>44</v>
      </c>
      <c r="D476" t="s">
        <v>74</v>
      </c>
      <c r="E476" s="6">
        <f t="shared" ca="1" si="21"/>
        <v>69.444585005612524</v>
      </c>
      <c r="I476" t="s">
        <v>98</v>
      </c>
      <c r="J476">
        <f>J458+1</f>
        <v>29</v>
      </c>
      <c r="K476" s="6">
        <f t="shared" ca="1" si="22"/>
        <v>69.444585005612524</v>
      </c>
    </row>
    <row r="477" spans="1:11" ht="15" customHeight="1" x14ac:dyDescent="0.25">
      <c r="K477" s="6" t="e">
        <f t="shared" ca="1" si="22"/>
        <v>#REF!</v>
      </c>
    </row>
    <row r="478" spans="1:11" ht="15" customHeight="1" x14ac:dyDescent="0.25">
      <c r="A478">
        <v>2017</v>
      </c>
      <c r="B478">
        <v>20</v>
      </c>
      <c r="C478" t="s">
        <v>44</v>
      </c>
      <c r="D478" t="s">
        <v>75</v>
      </c>
      <c r="E478" s="6">
        <f t="shared" ca="1" si="21"/>
        <v>69.444585005612524</v>
      </c>
      <c r="I478" t="s">
        <v>98</v>
      </c>
      <c r="J478">
        <f>J460+1</f>
        <v>29</v>
      </c>
      <c r="K478" s="6">
        <f t="shared" ca="1" si="22"/>
        <v>69.444585005612524</v>
      </c>
    </row>
    <row r="479" spans="1:11" ht="15" customHeight="1" x14ac:dyDescent="0.25">
      <c r="K479" s="6" t="e">
        <f t="shared" ca="1" si="22"/>
        <v>#REF!</v>
      </c>
    </row>
    <row r="480" spans="1:11" ht="15" customHeight="1" x14ac:dyDescent="0.25">
      <c r="A480">
        <v>2017</v>
      </c>
      <c r="B480">
        <v>20</v>
      </c>
      <c r="C480" t="s">
        <v>44</v>
      </c>
      <c r="D480" t="s">
        <v>76</v>
      </c>
      <c r="E480" s="6">
        <f t="shared" ca="1" si="21"/>
        <v>69.444585005612524</v>
      </c>
      <c r="I480" t="s">
        <v>98</v>
      </c>
      <c r="J480">
        <f>J462+1</f>
        <v>29</v>
      </c>
      <c r="K480" s="6">
        <f t="shared" ca="1" si="22"/>
        <v>69.444585005612524</v>
      </c>
    </row>
    <row r="481" spans="1:11" ht="15" customHeight="1" x14ac:dyDescent="0.25">
      <c r="K481" s="6" t="e">
        <f t="shared" ca="1" si="22"/>
        <v>#REF!</v>
      </c>
    </row>
    <row r="482" spans="1:11" ht="15" customHeight="1" x14ac:dyDescent="0.25">
      <c r="A482">
        <v>2017</v>
      </c>
      <c r="B482">
        <v>20</v>
      </c>
      <c r="C482" t="s">
        <v>44</v>
      </c>
      <c r="D482" t="s">
        <v>77</v>
      </c>
      <c r="E482" s="6">
        <f t="shared" ca="1" si="21"/>
        <v>20</v>
      </c>
      <c r="I482" t="s">
        <v>99</v>
      </c>
      <c r="J482">
        <f>J464+1</f>
        <v>29</v>
      </c>
      <c r="K482" s="6">
        <f t="shared" ca="1" si="22"/>
        <v>20</v>
      </c>
    </row>
    <row r="483" spans="1:11" ht="15" customHeight="1" x14ac:dyDescent="0.25">
      <c r="K483" s="6" t="e">
        <f t="shared" ca="1" si="22"/>
        <v>#REF!</v>
      </c>
    </row>
    <row r="484" spans="1:11" ht="15" customHeight="1" x14ac:dyDescent="0.25">
      <c r="A484">
        <v>2017</v>
      </c>
      <c r="B484">
        <v>20</v>
      </c>
      <c r="C484" t="s">
        <v>44</v>
      </c>
      <c r="D484" t="s">
        <v>78</v>
      </c>
      <c r="E484" s="6">
        <f t="shared" ca="1" si="21"/>
        <v>20</v>
      </c>
      <c r="I484" t="s">
        <v>99</v>
      </c>
      <c r="J484">
        <f>J466+1</f>
        <v>29</v>
      </c>
      <c r="K484" s="6">
        <f t="shared" ca="1" si="22"/>
        <v>20</v>
      </c>
    </row>
    <row r="485" spans="1:11" ht="15" customHeight="1" x14ac:dyDescent="0.25">
      <c r="K485" s="6" t="e">
        <f t="shared" ca="1" si="22"/>
        <v>#REF!</v>
      </c>
    </row>
    <row r="486" spans="1:11" ht="15" customHeight="1" x14ac:dyDescent="0.25">
      <c r="A486">
        <v>2017</v>
      </c>
      <c r="B486">
        <v>20</v>
      </c>
      <c r="C486" t="s">
        <v>44</v>
      </c>
      <c r="D486" t="s">
        <v>79</v>
      </c>
      <c r="E486" s="6">
        <f t="shared" ca="1" si="21"/>
        <v>20</v>
      </c>
      <c r="I486" t="s">
        <v>99</v>
      </c>
      <c r="J486">
        <f>J468+1</f>
        <v>29</v>
      </c>
      <c r="K486" s="6">
        <f t="shared" ca="1" si="22"/>
        <v>20</v>
      </c>
    </row>
    <row r="488" spans="1:11" ht="15" customHeight="1" x14ac:dyDescent="0.25">
      <c r="A488">
        <v>2017</v>
      </c>
      <c r="B488">
        <v>54</v>
      </c>
      <c r="C488" t="s">
        <v>80</v>
      </c>
      <c r="D488" t="s">
        <v>292</v>
      </c>
      <c r="E488" s="6">
        <f t="shared" ca="1" si="21"/>
        <v>86.317856759746476</v>
      </c>
      <c r="I488" t="s">
        <v>97</v>
      </c>
      <c r="J488">
        <f>J470+1</f>
        <v>30</v>
      </c>
      <c r="K488" s="6">
        <f t="shared" ref="K488:K540" ca="1" si="23">INDIRECT(CONCATENATE("'P Fertilizer Rate'!",I488,J488))</f>
        <v>86.317856759746476</v>
      </c>
    </row>
    <row r="489" spans="1:11" ht="15" customHeight="1" x14ac:dyDescent="0.25">
      <c r="K489" s="6" t="e">
        <f t="shared" ca="1" si="23"/>
        <v>#REF!</v>
      </c>
    </row>
    <row r="490" spans="1:11" ht="15" customHeight="1" x14ac:dyDescent="0.25">
      <c r="A490">
        <v>2017</v>
      </c>
      <c r="B490">
        <v>54</v>
      </c>
      <c r="C490" t="s">
        <v>80</v>
      </c>
      <c r="D490" t="s">
        <v>293</v>
      </c>
      <c r="E490" s="6">
        <f t="shared" ca="1" si="21"/>
        <v>86.317856759746476</v>
      </c>
      <c r="I490" t="s">
        <v>97</v>
      </c>
      <c r="J490">
        <f>J472+1</f>
        <v>30</v>
      </c>
      <c r="K490" s="6">
        <f t="shared" ca="1" si="23"/>
        <v>86.317856759746476</v>
      </c>
    </row>
    <row r="491" spans="1:11" ht="15" customHeight="1" x14ac:dyDescent="0.25">
      <c r="K491" s="6" t="e">
        <f t="shared" ca="1" si="23"/>
        <v>#REF!</v>
      </c>
    </row>
    <row r="492" spans="1:11" ht="15" customHeight="1" x14ac:dyDescent="0.25">
      <c r="A492">
        <v>2017</v>
      </c>
      <c r="B492">
        <v>54</v>
      </c>
      <c r="C492" t="s">
        <v>80</v>
      </c>
      <c r="D492" t="s">
        <v>294</v>
      </c>
      <c r="E492" s="6">
        <f t="shared" ca="1" si="21"/>
        <v>86.317856759746476</v>
      </c>
      <c r="I492" t="s">
        <v>97</v>
      </c>
      <c r="J492">
        <f>J474+1</f>
        <v>30</v>
      </c>
      <c r="K492" s="6">
        <f t="shared" ca="1" si="23"/>
        <v>86.317856759746476</v>
      </c>
    </row>
    <row r="493" spans="1:11" ht="15" customHeight="1" x14ac:dyDescent="0.25">
      <c r="K493" s="6" t="e">
        <f t="shared" ca="1" si="23"/>
        <v>#REF!</v>
      </c>
    </row>
    <row r="494" spans="1:11" ht="15" customHeight="1" x14ac:dyDescent="0.25">
      <c r="A494">
        <v>2017</v>
      </c>
      <c r="B494">
        <v>54</v>
      </c>
      <c r="C494" t="s">
        <v>80</v>
      </c>
      <c r="D494" t="s">
        <v>74</v>
      </c>
      <c r="E494" s="6">
        <f t="shared" ca="1" si="21"/>
        <v>69.054285407797181</v>
      </c>
      <c r="I494" t="s">
        <v>98</v>
      </c>
      <c r="J494">
        <f>J476+1</f>
        <v>30</v>
      </c>
      <c r="K494" s="6">
        <f t="shared" ca="1" si="23"/>
        <v>69.054285407797181</v>
      </c>
    </row>
    <row r="495" spans="1:11" ht="15" customHeight="1" x14ac:dyDescent="0.25">
      <c r="K495" s="6" t="e">
        <f t="shared" ca="1" si="23"/>
        <v>#REF!</v>
      </c>
    </row>
    <row r="496" spans="1:11" ht="15" customHeight="1" x14ac:dyDescent="0.25">
      <c r="A496">
        <v>2017</v>
      </c>
      <c r="B496">
        <v>54</v>
      </c>
      <c r="C496" t="s">
        <v>80</v>
      </c>
      <c r="D496" t="s">
        <v>75</v>
      </c>
      <c r="E496" s="6">
        <f t="shared" ca="1" si="21"/>
        <v>69.054285407797181</v>
      </c>
      <c r="I496" t="s">
        <v>98</v>
      </c>
      <c r="J496">
        <f>J478+1</f>
        <v>30</v>
      </c>
      <c r="K496" s="6">
        <f t="shared" ca="1" si="23"/>
        <v>69.054285407797181</v>
      </c>
    </row>
    <row r="497" spans="1:11" ht="15" customHeight="1" x14ac:dyDescent="0.25">
      <c r="K497" s="6" t="e">
        <f t="shared" ca="1" si="23"/>
        <v>#REF!</v>
      </c>
    </row>
    <row r="498" spans="1:11" ht="15" customHeight="1" x14ac:dyDescent="0.25">
      <c r="A498">
        <v>2017</v>
      </c>
      <c r="B498">
        <v>54</v>
      </c>
      <c r="C498" t="s">
        <v>80</v>
      </c>
      <c r="D498" t="s">
        <v>76</v>
      </c>
      <c r="E498" s="6">
        <f t="shared" ca="1" si="21"/>
        <v>69.054285407797181</v>
      </c>
      <c r="I498" t="s">
        <v>98</v>
      </c>
      <c r="J498">
        <f>J480+1</f>
        <v>30</v>
      </c>
      <c r="K498" s="6">
        <f t="shared" ca="1" si="23"/>
        <v>69.054285407797181</v>
      </c>
    </row>
    <row r="499" spans="1:11" ht="15" customHeight="1" x14ac:dyDescent="0.25">
      <c r="K499" s="6" t="e">
        <f t="shared" ca="1" si="23"/>
        <v>#REF!</v>
      </c>
    </row>
    <row r="500" spans="1:11" ht="15" customHeight="1" x14ac:dyDescent="0.25">
      <c r="A500">
        <v>2017</v>
      </c>
      <c r="B500">
        <v>54</v>
      </c>
      <c r="C500" t="s">
        <v>80</v>
      </c>
      <c r="D500" t="s">
        <v>77</v>
      </c>
      <c r="E500" s="6">
        <f t="shared" ca="1" si="21"/>
        <v>20</v>
      </c>
      <c r="I500" t="s">
        <v>99</v>
      </c>
      <c r="J500">
        <f>J482+1</f>
        <v>30</v>
      </c>
      <c r="K500" s="6">
        <f t="shared" ca="1" si="23"/>
        <v>20</v>
      </c>
    </row>
    <row r="501" spans="1:11" ht="15" customHeight="1" x14ac:dyDescent="0.25">
      <c r="K501" s="6" t="e">
        <f t="shared" ca="1" si="23"/>
        <v>#REF!</v>
      </c>
    </row>
    <row r="502" spans="1:11" ht="15" customHeight="1" x14ac:dyDescent="0.25">
      <c r="A502">
        <v>2017</v>
      </c>
      <c r="B502">
        <v>54</v>
      </c>
      <c r="C502" t="s">
        <v>80</v>
      </c>
      <c r="D502" t="s">
        <v>78</v>
      </c>
      <c r="E502" s="6">
        <f t="shared" ca="1" si="21"/>
        <v>20</v>
      </c>
      <c r="I502" t="s">
        <v>99</v>
      </c>
      <c r="J502">
        <f>J484+1</f>
        <v>30</v>
      </c>
      <c r="K502" s="6">
        <f t="shared" ca="1" si="23"/>
        <v>20</v>
      </c>
    </row>
    <row r="503" spans="1:11" ht="15" customHeight="1" x14ac:dyDescent="0.25">
      <c r="K503" s="6" t="e">
        <f t="shared" ca="1" si="23"/>
        <v>#REF!</v>
      </c>
    </row>
    <row r="504" spans="1:11" ht="15" customHeight="1" x14ac:dyDescent="0.25">
      <c r="A504">
        <v>2017</v>
      </c>
      <c r="B504">
        <v>54</v>
      </c>
      <c r="C504" t="s">
        <v>80</v>
      </c>
      <c r="D504" t="s">
        <v>79</v>
      </c>
      <c r="E504" s="6">
        <f t="shared" ca="1" si="21"/>
        <v>20</v>
      </c>
      <c r="I504" t="s">
        <v>99</v>
      </c>
      <c r="J504">
        <f>J486+1</f>
        <v>30</v>
      </c>
      <c r="K504" s="6">
        <f t="shared" ca="1" si="23"/>
        <v>20</v>
      </c>
    </row>
    <row r="506" spans="1:11" ht="15" customHeight="1" x14ac:dyDescent="0.25">
      <c r="A506">
        <v>2017</v>
      </c>
      <c r="B506">
        <v>83</v>
      </c>
      <c r="C506" t="s">
        <v>81</v>
      </c>
      <c r="D506" t="s">
        <v>292</v>
      </c>
      <c r="E506" s="6">
        <f t="shared" ca="1" si="21"/>
        <v>89.17301225522472</v>
      </c>
      <c r="I506" t="s">
        <v>97</v>
      </c>
      <c r="J506">
        <f>J488+1</f>
        <v>31</v>
      </c>
      <c r="K506" s="6">
        <f ca="1">INDIRECT(CONCATENATE("'P Fertilizer Rate'!",I506,J506))</f>
        <v>89.17301225522472</v>
      </c>
    </row>
    <row r="507" spans="1:11" ht="15" customHeight="1" x14ac:dyDescent="0.25">
      <c r="K507" s="6" t="e">
        <f t="shared" ca="1" si="22"/>
        <v>#REF!</v>
      </c>
    </row>
    <row r="508" spans="1:11" ht="15" customHeight="1" x14ac:dyDescent="0.25">
      <c r="A508">
        <v>2017</v>
      </c>
      <c r="B508">
        <v>83</v>
      </c>
      <c r="C508" t="s">
        <v>81</v>
      </c>
      <c r="D508" t="s">
        <v>293</v>
      </c>
      <c r="E508" s="6">
        <f t="shared" ca="1" si="21"/>
        <v>89.17301225522472</v>
      </c>
      <c r="I508" t="s">
        <v>97</v>
      </c>
      <c r="J508">
        <f>J490+1</f>
        <v>31</v>
      </c>
      <c r="K508" s="6">
        <f t="shared" ca="1" si="22"/>
        <v>89.17301225522472</v>
      </c>
    </row>
    <row r="509" spans="1:11" ht="15" customHeight="1" x14ac:dyDescent="0.25">
      <c r="K509" s="6" t="e">
        <f t="shared" ca="1" si="22"/>
        <v>#REF!</v>
      </c>
    </row>
    <row r="510" spans="1:11" ht="15" customHeight="1" x14ac:dyDescent="0.25">
      <c r="A510">
        <v>2017</v>
      </c>
      <c r="B510">
        <v>83</v>
      </c>
      <c r="C510" t="s">
        <v>81</v>
      </c>
      <c r="D510" t="s">
        <v>294</v>
      </c>
      <c r="E510" s="6">
        <f t="shared" ca="1" si="21"/>
        <v>89.17301225522472</v>
      </c>
      <c r="I510" t="s">
        <v>97</v>
      </c>
      <c r="J510">
        <f>J492+1</f>
        <v>31</v>
      </c>
      <c r="K510" s="6">
        <f t="shared" ca="1" si="22"/>
        <v>89.17301225522472</v>
      </c>
    </row>
    <row r="511" spans="1:11" ht="15" customHeight="1" x14ac:dyDescent="0.25">
      <c r="K511" s="6" t="e">
        <f t="shared" ca="1" si="22"/>
        <v>#REF!</v>
      </c>
    </row>
    <row r="512" spans="1:11" ht="15" customHeight="1" x14ac:dyDescent="0.25">
      <c r="A512">
        <v>2017</v>
      </c>
      <c r="B512">
        <v>83</v>
      </c>
      <c r="C512" t="s">
        <v>81</v>
      </c>
      <c r="D512" t="s">
        <v>74</v>
      </c>
      <c r="E512" s="6">
        <f t="shared" ca="1" si="21"/>
        <v>71.338409804179776</v>
      </c>
      <c r="I512" t="s">
        <v>98</v>
      </c>
      <c r="J512">
        <f>J494+1</f>
        <v>31</v>
      </c>
      <c r="K512" s="6">
        <f t="shared" ca="1" si="22"/>
        <v>71.338409804179776</v>
      </c>
    </row>
    <row r="513" spans="1:11" ht="15" customHeight="1" x14ac:dyDescent="0.25">
      <c r="K513" s="6" t="e">
        <f t="shared" ca="1" si="22"/>
        <v>#REF!</v>
      </c>
    </row>
    <row r="514" spans="1:11" ht="15" customHeight="1" x14ac:dyDescent="0.25">
      <c r="A514">
        <v>2017</v>
      </c>
      <c r="B514">
        <v>83</v>
      </c>
      <c r="C514" t="s">
        <v>81</v>
      </c>
      <c r="D514" t="s">
        <v>75</v>
      </c>
      <c r="E514" s="6">
        <f t="shared" ca="1" si="21"/>
        <v>71.338409804179776</v>
      </c>
      <c r="I514" t="s">
        <v>98</v>
      </c>
      <c r="J514">
        <f>J496+1</f>
        <v>31</v>
      </c>
      <c r="K514" s="6">
        <f t="shared" ca="1" si="22"/>
        <v>71.338409804179776</v>
      </c>
    </row>
    <row r="515" spans="1:11" ht="15" customHeight="1" x14ac:dyDescent="0.25">
      <c r="K515" s="6" t="e">
        <f t="shared" ca="1" si="22"/>
        <v>#REF!</v>
      </c>
    </row>
    <row r="516" spans="1:11" ht="15" customHeight="1" x14ac:dyDescent="0.25">
      <c r="A516">
        <v>2017</v>
      </c>
      <c r="B516">
        <v>83</v>
      </c>
      <c r="C516" t="s">
        <v>81</v>
      </c>
      <c r="D516" t="s">
        <v>76</v>
      </c>
      <c r="E516" s="6">
        <f t="shared" ca="1" si="21"/>
        <v>71.338409804179776</v>
      </c>
      <c r="I516" t="s">
        <v>98</v>
      </c>
      <c r="J516">
        <f>J498+1</f>
        <v>31</v>
      </c>
      <c r="K516" s="6">
        <f t="shared" ca="1" si="22"/>
        <v>71.338409804179776</v>
      </c>
    </row>
    <row r="517" spans="1:11" ht="15" customHeight="1" x14ac:dyDescent="0.25">
      <c r="K517" s="6" t="e">
        <f t="shared" ca="1" si="22"/>
        <v>#REF!</v>
      </c>
    </row>
    <row r="518" spans="1:11" ht="15" customHeight="1" x14ac:dyDescent="0.25">
      <c r="A518">
        <v>2017</v>
      </c>
      <c r="B518">
        <v>83</v>
      </c>
      <c r="C518" t="s">
        <v>81</v>
      </c>
      <c r="D518" t="s">
        <v>77</v>
      </c>
      <c r="E518" s="6">
        <f t="shared" ca="1" si="21"/>
        <v>20</v>
      </c>
      <c r="I518" t="s">
        <v>99</v>
      </c>
      <c r="J518">
        <f>J500+1</f>
        <v>31</v>
      </c>
      <c r="K518" s="6">
        <f t="shared" ca="1" si="22"/>
        <v>20</v>
      </c>
    </row>
    <row r="519" spans="1:11" ht="15" customHeight="1" x14ac:dyDescent="0.25">
      <c r="K519" s="6" t="e">
        <f t="shared" ca="1" si="22"/>
        <v>#REF!</v>
      </c>
    </row>
    <row r="520" spans="1:11" ht="15" customHeight="1" x14ac:dyDescent="0.25">
      <c r="A520">
        <v>2017</v>
      </c>
      <c r="B520">
        <v>83</v>
      </c>
      <c r="C520" t="s">
        <v>81</v>
      </c>
      <c r="D520" t="s">
        <v>78</v>
      </c>
      <c r="E520" s="6">
        <f t="shared" ca="1" si="21"/>
        <v>20</v>
      </c>
      <c r="I520" t="s">
        <v>99</v>
      </c>
      <c r="J520">
        <f>J502+1</f>
        <v>31</v>
      </c>
      <c r="K520" s="6">
        <f t="shared" ca="1" si="22"/>
        <v>20</v>
      </c>
    </row>
    <row r="521" spans="1:11" ht="15" customHeight="1" x14ac:dyDescent="0.25">
      <c r="K521" s="6" t="e">
        <f t="shared" ca="1" si="22"/>
        <v>#REF!</v>
      </c>
    </row>
    <row r="522" spans="1:11" ht="15" customHeight="1" x14ac:dyDescent="0.25">
      <c r="A522">
        <v>2017</v>
      </c>
      <c r="B522">
        <v>83</v>
      </c>
      <c r="C522" t="s">
        <v>81</v>
      </c>
      <c r="D522" t="s">
        <v>79</v>
      </c>
      <c r="E522" s="6">
        <f t="shared" ca="1" si="21"/>
        <v>20</v>
      </c>
      <c r="I522" t="s">
        <v>99</v>
      </c>
      <c r="J522">
        <f>J504+1</f>
        <v>31</v>
      </c>
      <c r="K522" s="6">
        <f t="shared" ca="1" si="22"/>
        <v>20</v>
      </c>
    </row>
    <row r="524" spans="1:11" ht="15" customHeight="1" x14ac:dyDescent="0.25">
      <c r="A524">
        <v>2017</v>
      </c>
      <c r="B524">
        <v>71</v>
      </c>
      <c r="C524" t="s">
        <v>82</v>
      </c>
      <c r="D524" t="s">
        <v>292</v>
      </c>
      <c r="E524" s="6">
        <f t="shared" ca="1" si="21"/>
        <v>91.179158066797982</v>
      </c>
      <c r="I524" t="s">
        <v>97</v>
      </c>
      <c r="J524">
        <f>J506+1</f>
        <v>32</v>
      </c>
      <c r="K524" s="6">
        <f ca="1">INDIRECT(CONCATENATE("'P Fertilizer Rate'!",I524,J524))</f>
        <v>91.179158066797982</v>
      </c>
    </row>
    <row r="525" spans="1:11" ht="15" customHeight="1" x14ac:dyDescent="0.25">
      <c r="K525" s="6" t="e">
        <f t="shared" ca="1" si="23"/>
        <v>#REF!</v>
      </c>
    </row>
    <row r="526" spans="1:11" ht="15" customHeight="1" x14ac:dyDescent="0.25">
      <c r="A526">
        <v>2017</v>
      </c>
      <c r="B526">
        <v>71</v>
      </c>
      <c r="C526" t="s">
        <v>82</v>
      </c>
      <c r="D526" t="s">
        <v>293</v>
      </c>
      <c r="E526" s="6">
        <f t="shared" ca="1" si="21"/>
        <v>91.179158066797982</v>
      </c>
      <c r="I526" t="s">
        <v>97</v>
      </c>
      <c r="J526">
        <f>J508+1</f>
        <v>32</v>
      </c>
      <c r="K526" s="6">
        <f t="shared" ca="1" si="23"/>
        <v>91.179158066797982</v>
      </c>
    </row>
    <row r="527" spans="1:11" ht="15" customHeight="1" x14ac:dyDescent="0.25">
      <c r="K527" s="6" t="e">
        <f t="shared" ca="1" si="23"/>
        <v>#REF!</v>
      </c>
    </row>
    <row r="528" spans="1:11" ht="15" customHeight="1" x14ac:dyDescent="0.25">
      <c r="A528">
        <v>2017</v>
      </c>
      <c r="B528">
        <v>71</v>
      </c>
      <c r="C528" t="s">
        <v>82</v>
      </c>
      <c r="D528" t="s">
        <v>294</v>
      </c>
      <c r="E528" s="6">
        <f t="shared" ca="1" si="21"/>
        <v>91.179158066797982</v>
      </c>
      <c r="I528" t="s">
        <v>97</v>
      </c>
      <c r="J528">
        <f>J510+1</f>
        <v>32</v>
      </c>
      <c r="K528" s="6">
        <f t="shared" ca="1" si="23"/>
        <v>91.179158066797982</v>
      </c>
    </row>
    <row r="529" spans="1:11" ht="15" customHeight="1" x14ac:dyDescent="0.25">
      <c r="K529" s="6" t="e">
        <f t="shared" ca="1" si="23"/>
        <v>#REF!</v>
      </c>
    </row>
    <row r="530" spans="1:11" ht="15" customHeight="1" x14ac:dyDescent="0.25">
      <c r="A530">
        <v>2017</v>
      </c>
      <c r="B530">
        <v>71</v>
      </c>
      <c r="C530" t="s">
        <v>82</v>
      </c>
      <c r="D530" t="s">
        <v>74</v>
      </c>
      <c r="E530" s="6">
        <f t="shared" ref="E530:E540" ca="1" si="24">K530</f>
        <v>72.943326453438388</v>
      </c>
      <c r="I530" t="s">
        <v>98</v>
      </c>
      <c r="J530">
        <f>J512+1</f>
        <v>32</v>
      </c>
      <c r="K530" s="6">
        <f t="shared" ca="1" si="23"/>
        <v>72.943326453438388</v>
      </c>
    </row>
    <row r="531" spans="1:11" ht="15" customHeight="1" x14ac:dyDescent="0.25">
      <c r="K531" s="6" t="e">
        <f t="shared" ca="1" si="23"/>
        <v>#REF!</v>
      </c>
    </row>
    <row r="532" spans="1:11" ht="15" customHeight="1" x14ac:dyDescent="0.25">
      <c r="A532">
        <v>2017</v>
      </c>
      <c r="B532">
        <v>71</v>
      </c>
      <c r="C532" t="s">
        <v>82</v>
      </c>
      <c r="D532" t="s">
        <v>75</v>
      </c>
      <c r="E532" s="6">
        <f t="shared" ca="1" si="24"/>
        <v>72.943326453438388</v>
      </c>
      <c r="I532" t="s">
        <v>98</v>
      </c>
      <c r="J532">
        <f>J514+1</f>
        <v>32</v>
      </c>
      <c r="K532" s="6">
        <f t="shared" ca="1" si="23"/>
        <v>72.943326453438388</v>
      </c>
    </row>
    <row r="533" spans="1:11" ht="15" customHeight="1" x14ac:dyDescent="0.25">
      <c r="K533" s="6" t="e">
        <f t="shared" ca="1" si="23"/>
        <v>#REF!</v>
      </c>
    </row>
    <row r="534" spans="1:11" ht="15" customHeight="1" x14ac:dyDescent="0.25">
      <c r="A534">
        <v>2017</v>
      </c>
      <c r="B534">
        <v>71</v>
      </c>
      <c r="C534" t="s">
        <v>82</v>
      </c>
      <c r="D534" t="s">
        <v>76</v>
      </c>
      <c r="E534" s="6">
        <f t="shared" ca="1" si="24"/>
        <v>72.943326453438388</v>
      </c>
      <c r="I534" t="s">
        <v>98</v>
      </c>
      <c r="J534">
        <f>J516+1</f>
        <v>32</v>
      </c>
      <c r="K534" s="6">
        <f t="shared" ca="1" si="23"/>
        <v>72.943326453438388</v>
      </c>
    </row>
    <row r="535" spans="1:11" ht="15" customHeight="1" x14ac:dyDescent="0.25">
      <c r="K535" s="6" t="e">
        <f t="shared" ca="1" si="23"/>
        <v>#REF!</v>
      </c>
    </row>
    <row r="536" spans="1:11" ht="15" customHeight="1" x14ac:dyDescent="0.25">
      <c r="A536">
        <v>2017</v>
      </c>
      <c r="B536">
        <v>71</v>
      </c>
      <c r="C536" t="s">
        <v>82</v>
      </c>
      <c r="D536" t="s">
        <v>77</v>
      </c>
      <c r="E536" s="6">
        <f t="shared" ca="1" si="24"/>
        <v>20</v>
      </c>
      <c r="I536" t="s">
        <v>99</v>
      </c>
      <c r="J536">
        <f>J518+1</f>
        <v>32</v>
      </c>
      <c r="K536" s="6">
        <f t="shared" ca="1" si="23"/>
        <v>20</v>
      </c>
    </row>
    <row r="537" spans="1:11" ht="15" customHeight="1" x14ac:dyDescent="0.25">
      <c r="K537" s="6" t="e">
        <f t="shared" ca="1" si="23"/>
        <v>#REF!</v>
      </c>
    </row>
    <row r="538" spans="1:11" ht="15" customHeight="1" x14ac:dyDescent="0.25">
      <c r="A538">
        <v>2017</v>
      </c>
      <c r="B538">
        <v>71</v>
      </c>
      <c r="C538" t="s">
        <v>82</v>
      </c>
      <c r="D538" t="s">
        <v>78</v>
      </c>
      <c r="E538" s="6">
        <f t="shared" ca="1" si="24"/>
        <v>20</v>
      </c>
      <c r="I538" t="s">
        <v>99</v>
      </c>
      <c r="J538">
        <f>J520+1</f>
        <v>32</v>
      </c>
      <c r="K538" s="6">
        <f t="shared" ca="1" si="23"/>
        <v>20</v>
      </c>
    </row>
    <row r="539" spans="1:11" ht="15" customHeight="1" x14ac:dyDescent="0.25">
      <c r="K539" s="6" t="e">
        <f t="shared" ca="1" si="23"/>
        <v>#REF!</v>
      </c>
    </row>
    <row r="540" spans="1:11" ht="15" customHeight="1" x14ac:dyDescent="0.25">
      <c r="A540">
        <v>2017</v>
      </c>
      <c r="B540">
        <v>71</v>
      </c>
      <c r="C540" t="s">
        <v>82</v>
      </c>
      <c r="D540" t="s">
        <v>79</v>
      </c>
      <c r="E540" s="6">
        <f t="shared" ca="1" si="24"/>
        <v>20</v>
      </c>
      <c r="I540" t="s">
        <v>99</v>
      </c>
      <c r="J540">
        <f>J522+1</f>
        <v>32</v>
      </c>
      <c r="K540" s="6">
        <f t="shared" ca="1" si="23"/>
        <v>20</v>
      </c>
    </row>
  </sheetData>
  <sheetProtection password="C2EC"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rgb="FFFFFF00"/>
  </sheetPr>
  <dimension ref="A1:H26"/>
  <sheetViews>
    <sheetView zoomScale="90" zoomScaleNormal="90" workbookViewId="0">
      <selection activeCell="E11" sqref="E11"/>
    </sheetView>
  </sheetViews>
  <sheetFormatPr defaultRowHeight="15" x14ac:dyDescent="0.25"/>
  <cols>
    <col min="1" max="1" width="11.5703125" style="56" customWidth="1"/>
    <col min="2" max="2" width="47" customWidth="1"/>
    <col min="3" max="3" width="31.42578125" customWidth="1"/>
    <col min="4" max="4" width="37.140625" customWidth="1"/>
    <col min="6" max="6" width="61.85546875" customWidth="1"/>
  </cols>
  <sheetData>
    <row r="1" spans="1:8" s="56" customFormat="1" ht="21.75" thickBot="1" x14ac:dyDescent="0.4">
      <c r="B1" s="171" t="s">
        <v>348</v>
      </c>
      <c r="C1" s="172"/>
      <c r="D1" s="173"/>
    </row>
    <row r="2" spans="1:8" s="56" customFormat="1" ht="85.5" customHeight="1" x14ac:dyDescent="0.25">
      <c r="B2" s="174" t="s">
        <v>389</v>
      </c>
      <c r="C2" s="175"/>
      <c r="D2" s="176"/>
    </row>
    <row r="3" spans="1:8" s="56" customFormat="1" ht="87" customHeight="1" thickBot="1" x14ac:dyDescent="0.3">
      <c r="B3" s="177"/>
      <c r="C3" s="178"/>
      <c r="D3" s="179"/>
    </row>
    <row r="4" spans="1:8" ht="15.75" x14ac:dyDescent="0.25">
      <c r="B4" s="168" t="s">
        <v>274</v>
      </c>
      <c r="C4" s="169"/>
      <c r="D4" s="170"/>
      <c r="E4" s="73"/>
      <c r="F4" s="72"/>
      <c r="H4" s="100"/>
    </row>
    <row r="5" spans="1:8" ht="31.5" customHeight="1" x14ac:dyDescent="0.25">
      <c r="B5" s="111" t="s">
        <v>275</v>
      </c>
      <c r="C5" s="112" t="s">
        <v>173</v>
      </c>
      <c r="D5" s="112" t="s">
        <v>356</v>
      </c>
      <c r="E5" s="73"/>
      <c r="F5" s="86"/>
      <c r="H5" s="100"/>
    </row>
    <row r="6" spans="1:8" ht="15.75" hidden="1" x14ac:dyDescent="0.25">
      <c r="A6" s="180" t="s">
        <v>359</v>
      </c>
      <c r="B6" s="113" t="s">
        <v>276</v>
      </c>
      <c r="C6" s="114">
        <f>(INDEX('BMP Removal Rates'!F3:F32, MATCH('(STEP 1) Baseline Conditions'!$B$5,'BMP Removal Rates'!$A$3:$A$32,0),0))*'(STEP 1) Baseline Conditions'!$B$8</f>
        <v>0.83200000000000007</v>
      </c>
      <c r="D6" s="115">
        <f>(INDEX('BMP Removal Rates'!G3:G32, MATCH('(STEP 1) Baseline Conditions'!$B$5,'BMP Removal Rates'!$A$3:$A$32,0),0))*'(STEP 1) Baseline Conditions'!$B$9</f>
        <v>0.33824999999999994</v>
      </c>
      <c r="E6" s="70"/>
      <c r="F6" s="72"/>
      <c r="H6" s="101" t="b">
        <v>0</v>
      </c>
    </row>
    <row r="7" spans="1:8" ht="15.75" x14ac:dyDescent="0.25">
      <c r="A7" s="181"/>
      <c r="B7" s="116" t="s">
        <v>358</v>
      </c>
      <c r="C7" s="126">
        <f>INDEX('BMP Removal Rates'!J3:J32,MATCH('(STEP 1) Baseline Conditions'!$B$5,'BMP Removal Rates'!$A$3:$A$32,0),0)*'(STEP 1) Baseline Conditions'!$B$8</f>
        <v>1.8720000000000001</v>
      </c>
      <c r="D7" s="127">
        <f>INDEX('BMP Removal Rates'!K3:K32, MATCH('(STEP 1) Baseline Conditions'!$B$5,'BMP Removal Rates'!$A$3:$A$32,0),0)*'(STEP 1) Baseline Conditions'!$B$9</f>
        <v>0.33824999999999994</v>
      </c>
      <c r="E7" s="70"/>
      <c r="F7" s="72"/>
      <c r="H7" s="101" t="b">
        <v>0</v>
      </c>
    </row>
    <row r="8" spans="1:8" ht="15.75" x14ac:dyDescent="0.25">
      <c r="A8" s="181"/>
      <c r="B8" s="116" t="s">
        <v>277</v>
      </c>
      <c r="C8" s="126">
        <f>(INDEX('BMP Removal Rates'!D3:D32, MATCH('(STEP 1) Baseline Conditions'!$B$5,'BMP Removal Rates'!$A$3:$A$32,0),0))*'(STEP 1) Baseline Conditions'!$B$8</f>
        <v>1.2896000000000001</v>
      </c>
      <c r="D8" s="127">
        <f>(INDEX('BMP Removal Rates'!E3:E32, MATCH('(STEP 1) Baseline Conditions'!$B$5,'BMP Removal Rates'!$A$3:$A$32,0),0))*'(STEP 1) Baseline Conditions'!$B$9</f>
        <v>0.17363499999999998</v>
      </c>
      <c r="E8" s="70"/>
      <c r="F8" s="72"/>
      <c r="H8" s="101" t="b">
        <v>0</v>
      </c>
    </row>
    <row r="9" spans="1:8" ht="15.75" x14ac:dyDescent="0.25">
      <c r="A9" s="181"/>
      <c r="B9" s="116" t="s">
        <v>278</v>
      </c>
      <c r="C9" s="126">
        <f>(INDEX('BMP Removal Rates'!B3:B32, MATCH('(STEP 1) Baseline Conditions'!$B$5,'BMP Removal Rates'!$A$3:$A$32,0),0))*'(STEP 1) Baseline Conditions'!$B$8</f>
        <v>0</v>
      </c>
      <c r="D9" s="127">
        <f>(INDEX('BMP Removal Rates'!C3:C32, MATCH('(STEP 1) Baseline Conditions'!$B$5,'BMP Removal Rates'!$A$3:$A$32,0),0))*'(STEP 1) Baseline Conditions'!$B$9</f>
        <v>0</v>
      </c>
      <c r="E9" s="70"/>
      <c r="F9" s="72"/>
      <c r="H9" s="101" t="b">
        <v>0</v>
      </c>
    </row>
    <row r="10" spans="1:8" ht="16.5" thickBot="1" x14ac:dyDescent="0.3">
      <c r="A10" s="181"/>
      <c r="B10" s="117" t="s">
        <v>279</v>
      </c>
      <c r="C10" s="128">
        <f>(INDEX('BMP Removal Rates'!L3:L32, MATCH('(STEP 1) Baseline Conditions'!$B$5,'BMP Removal Rates'!$A$3:$A$32,0),0))*'(STEP 1) Baseline Conditions'!$B$8</f>
        <v>0</v>
      </c>
      <c r="D10" s="129">
        <f>(INDEX('BMP Removal Rates'!M3:M32, MATCH('(STEP 1) Baseline Conditions'!$B$5,'BMP Removal Rates'!$A$3:$A$32,0),0))*'(STEP 1) Baseline Conditions'!$B$9</f>
        <v>0</v>
      </c>
      <c r="E10" s="70"/>
      <c r="F10" s="72"/>
      <c r="H10" s="101" t="b">
        <v>0</v>
      </c>
    </row>
    <row r="11" spans="1:8" ht="16.5" thickBot="1" x14ac:dyDescent="0.3">
      <c r="A11" s="182" t="s">
        <v>379</v>
      </c>
      <c r="B11" s="122" t="s">
        <v>357</v>
      </c>
      <c r="C11" s="130">
        <f>IF(E11="--select--", 0,'(STEP 1) Baseline Conditions'!B8*('Dosskey Coefficients'!F15)/100)</f>
        <v>2.08</v>
      </c>
      <c r="D11" s="131">
        <f>IF(E11="--select--",0,'(STEP 1) Baseline Conditions'!B9*(('Dosskey Coefficients'!I15)/100))</f>
        <v>0.34707729139449095</v>
      </c>
      <c r="E11" s="98">
        <v>16.5</v>
      </c>
      <c r="F11" s="72" t="s">
        <v>307</v>
      </c>
      <c r="H11" s="67" t="b">
        <v>1</v>
      </c>
    </row>
    <row r="12" spans="1:8" ht="16.5" thickBot="1" x14ac:dyDescent="0.3">
      <c r="A12" s="183"/>
      <c r="B12" s="121" t="s">
        <v>281</v>
      </c>
      <c r="C12" s="132">
        <f>(INDEX('BMP Removal Rates'!P3:P32, MATCH('(STEP 1) Baseline Conditions'!$B$5,'BMP Removal Rates'!$A$3:$A$32,0),0))*'(STEP 1) Baseline Conditions'!$B$8*(E12/100)</f>
        <v>0</v>
      </c>
      <c r="D12" s="133">
        <f>(INDEX('BMP Removal Rates'!Q3:Q32, MATCH('(STEP 1) Baseline Conditions'!$B$5,'BMP Removal Rates'!$A$3:$A$32,0),0))*'(STEP 1) Baseline Conditions'!$B$9*(E12/100)</f>
        <v>0</v>
      </c>
      <c r="E12" s="99">
        <v>10</v>
      </c>
      <c r="F12" s="72" t="s">
        <v>365</v>
      </c>
      <c r="H12" s="101" t="b">
        <v>0</v>
      </c>
    </row>
    <row r="13" spans="1:8" ht="16.5" thickBot="1" x14ac:dyDescent="0.3">
      <c r="A13" s="183"/>
      <c r="B13" s="116" t="s">
        <v>284</v>
      </c>
      <c r="C13" s="126">
        <f>(INDEX('BMP Removal Rates'!X3:X32, MATCH('(STEP 1) Baseline Conditions'!$B$5,'BMP Removal Rates'!$A$3:$A$32,0),0))*'(STEP 1) Baseline Conditions'!$B$8*(E13/100)</f>
        <v>0</v>
      </c>
      <c r="D13" s="127">
        <f>(INDEX('BMP Removal Rates'!Y3:Y32, MATCH('(STEP 1) Baseline Conditions'!$B$5,'BMP Removal Rates'!$A$3:$A$32,0),0))*'(STEP 1) Baseline Conditions'!$B$9*(E13/100)</f>
        <v>0</v>
      </c>
      <c r="E13" s="99">
        <v>10</v>
      </c>
      <c r="F13" s="72" t="s">
        <v>347</v>
      </c>
      <c r="H13" s="101" t="b">
        <v>0</v>
      </c>
    </row>
    <row r="14" spans="1:8" ht="16.5" thickBot="1" x14ac:dyDescent="0.3">
      <c r="A14" s="183"/>
      <c r="B14" s="116" t="s">
        <v>283</v>
      </c>
      <c r="C14" s="134">
        <f>(INDEX('BMP Removal Rates'!Z3:Z32, MATCH('(STEP 1) Baseline Conditions'!$B$5,'BMP Removal Rates'!$A$3:$A$32,0),0))*'(STEP 1) Baseline Conditions'!$B$8*(E14/100)</f>
        <v>0.15600000000000003</v>
      </c>
      <c r="D14" s="135">
        <f>(INDEX('BMP Removal Rates'!AA3:AA32, MATCH('(STEP 1) Baseline Conditions'!$B$5,'BMP Removal Rates'!$A$3:$A$32,0),0))*'(STEP 1) Baseline Conditions'!$B$9*(E14/100)</f>
        <v>3.2359249999999999E-2</v>
      </c>
      <c r="E14" s="99">
        <v>10</v>
      </c>
      <c r="F14" s="72" t="s">
        <v>347</v>
      </c>
      <c r="H14" s="101" t="b">
        <v>0</v>
      </c>
    </row>
    <row r="15" spans="1:8" s="56" customFormat="1" ht="16.5" thickBot="1" x14ac:dyDescent="0.3">
      <c r="A15" s="183"/>
      <c r="B15" s="116" t="s">
        <v>282</v>
      </c>
      <c r="C15" s="126">
        <f>(INDEX('BMP Removal Rates'!V3:V32, MATCH('(STEP 1) Baseline Conditions'!$B$5,'BMP Removal Rates'!$A$3:$A$32,0),0))*'(STEP 1) Baseline Conditions'!$B$8*(E15/100)</f>
        <v>0.15132000000000001</v>
      </c>
      <c r="D15" s="127">
        <f>(INDEX('BMP Removal Rates'!W3:W32, MATCH('(STEP 1) Baseline Conditions'!$B$5,'BMP Removal Rates'!$A$3:$A$32,0),0))*'(STEP 1) Baseline Conditions'!$B$9*(E15/100)</f>
        <v>3.4050499999999997E-2</v>
      </c>
      <c r="E15" s="99">
        <v>10</v>
      </c>
      <c r="F15" s="72" t="s">
        <v>311</v>
      </c>
      <c r="H15" s="101" t="b">
        <v>0</v>
      </c>
    </row>
    <row r="16" spans="1:8" ht="16.5" thickBot="1" x14ac:dyDescent="0.3">
      <c r="A16" s="183"/>
      <c r="B16" s="116" t="s">
        <v>305</v>
      </c>
      <c r="C16" s="126">
        <f>IF('(STEP 1) Baseline Conditions'!B7="Yes",(INDEX('BMP Removal Rates'!AB3:AB32, MATCH('(STEP 1) Baseline Conditions'!$B$5,'BMP Removal Rates'!$A$3:$A$32,0),0))*'(STEP 1) Baseline Conditions'!$B$8*(E16/100),0)</f>
        <v>0</v>
      </c>
      <c r="D16" s="127">
        <f>IF('(STEP 1) Baseline Conditions'!B7="Yes",(INDEX('BMP Removal Rates'!AC3:AC32, MATCH('(STEP 1) Baseline Conditions'!$B$5,'BMP Removal Rates'!$A$3:$A$32,0),0))*'(STEP 1) Baseline Conditions'!$B$9*(E16/100),0)</f>
        <v>0</v>
      </c>
      <c r="E16" s="99">
        <v>10</v>
      </c>
      <c r="F16" s="72" t="s">
        <v>312</v>
      </c>
      <c r="H16" s="101" t="b">
        <v>0</v>
      </c>
    </row>
    <row r="17" spans="1:8" ht="16.5" thickBot="1" x14ac:dyDescent="0.3">
      <c r="A17" s="184"/>
      <c r="B17" s="117" t="s">
        <v>280</v>
      </c>
      <c r="C17" s="128">
        <f>(INDEX('BMP Removal Rates'!N3:N32, MATCH('(STEP 1) Baseline Conditions'!$B$5,'BMP Removal Rates'!$A$3:$A$32,0),0))*'(STEP 1) Baseline Conditions'!$B$8*(E17/100)</f>
        <v>0.17056000000000002</v>
      </c>
      <c r="D17" s="129">
        <f>(INDEX('BMP Removal Rates'!O3:O32, MATCH('(STEP 1) Baseline Conditions'!$B$5,'BMP Removal Rates'!$A$3:$A$32,0),0))*'(STEP 1) Baseline Conditions'!$B$9*(E17/100)</f>
        <v>9.4710000000000003E-3</v>
      </c>
      <c r="E17" s="99">
        <v>10</v>
      </c>
      <c r="F17" s="72" t="s">
        <v>313</v>
      </c>
      <c r="H17" s="101" t="b">
        <v>0</v>
      </c>
    </row>
    <row r="18" spans="1:8" s="56" customFormat="1" ht="15.75" x14ac:dyDescent="0.25">
      <c r="B18" s="118" t="s">
        <v>320</v>
      </c>
      <c r="C18" s="136">
        <f>'(STEP 1) Baseline Conditions'!B16</f>
        <v>2.08</v>
      </c>
      <c r="D18" s="136">
        <f>'(STEP 1) Baseline Conditions'!B17</f>
        <v>0.43379578914861372</v>
      </c>
      <c r="E18" s="75"/>
      <c r="F18" s="72"/>
      <c r="H18" s="100"/>
    </row>
    <row r="19" spans="1:8" ht="15.75" x14ac:dyDescent="0.25">
      <c r="B19" s="80" t="s">
        <v>310</v>
      </c>
      <c r="C19" s="137">
        <f>SUM(IF(H6,C6,0),IF(H7,C7,0), IF(H8,C8,0),IF(H9,C9,0),IF(H10,C10,0), IF(H11,C11,0), IF(H16,C16,0), IF(H17,C17,0), IF(H12,C12,0), IF(H15,C15,0), IF(H13,C13,0), IF(H14,C14,0))</f>
        <v>2.08</v>
      </c>
      <c r="D19" s="137">
        <f>SUM(IF(H6,D6,0),IF(H7,D7,0), IF(H8,D8,0),IF(H9,D9,0),IF(H10,D10,0), IF(H11,D11,0), IF(H16,D16,0), IF(H17,D17,0), IF(H12,D12,0), IF(H15,D15,0), IF(H13,D13,0), IF(H14,D14,0))</f>
        <v>0.34707729139449095</v>
      </c>
      <c r="E19" s="74"/>
      <c r="F19" s="72"/>
      <c r="H19" s="100"/>
    </row>
    <row r="20" spans="1:8" ht="16.5" thickBot="1" x14ac:dyDescent="0.3">
      <c r="B20" s="81" t="s">
        <v>286</v>
      </c>
      <c r="C20" s="82" t="str">
        <f>IF(C11&gt;0, IF(C19&gt;='(STEP 1) Baseline Conditions'!B16,"YES","NO"), "NO")</f>
        <v>YES</v>
      </c>
      <c r="D20" s="82" t="str">
        <f>IF(D11&gt;0,IF(D19&gt;='(STEP 1) Baseline Conditions'!B17,"YES","NO"), "NO")</f>
        <v>NO</v>
      </c>
      <c r="E20" s="73"/>
      <c r="F20" s="72"/>
      <c r="H20" s="100"/>
    </row>
    <row r="22" spans="1:8" ht="48.75" customHeight="1" x14ac:dyDescent="0.25">
      <c r="B22" s="167" t="s">
        <v>380</v>
      </c>
      <c r="C22" s="167"/>
      <c r="D22" s="167"/>
    </row>
    <row r="26" spans="1:8" ht="107.25" customHeight="1" x14ac:dyDescent="0.25"/>
  </sheetData>
  <sheetProtection password="C2EC" sheet="1" objects="1" scenarios="1" selectLockedCells="1"/>
  <mergeCells count="6">
    <mergeCell ref="B22:D22"/>
    <mergeCell ref="B4:D4"/>
    <mergeCell ref="B1:D1"/>
    <mergeCell ref="B2:D3"/>
    <mergeCell ref="A6:A10"/>
    <mergeCell ref="A11:A17"/>
  </mergeCells>
  <conditionalFormatting sqref="C20">
    <cfRule type="expression" dxfId="4" priority="3">
      <formula>$C$20="No"</formula>
    </cfRule>
    <cfRule type="expression" dxfId="3" priority="5">
      <formula>$C$20="Yes"</formula>
    </cfRule>
  </conditionalFormatting>
  <conditionalFormatting sqref="C11:E11 C20:D20">
    <cfRule type="expression" dxfId="2" priority="1">
      <formula>$E$11=0</formula>
    </cfRule>
  </conditionalFormatting>
  <conditionalFormatting sqref="D20">
    <cfRule type="expression" dxfId="1" priority="2">
      <formula>$D$20="No"</formula>
    </cfRule>
    <cfRule type="expression" dxfId="0" priority="4">
      <formula>$D$20="Yes"</formula>
    </cfRule>
  </conditionalFormatting>
  <dataValidations count="1">
    <dataValidation type="whole" allowBlank="1" showInputMessage="1" showErrorMessage="1" sqref="E12:E17" xr:uid="{00000000-0002-0000-0200-000000000000}">
      <formula1>0</formula1>
      <formula2>100</formula2>
    </dataValidation>
  </dataValidation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locked="0" defaultSize="0" autoFill="0" autoLine="0" autoPict="0" altText="">
                <anchor moveWithCells="1">
                  <from>
                    <xdr:col>1</xdr:col>
                    <xdr:colOff>2924175</xdr:colOff>
                    <xdr:row>5</xdr:row>
                    <xdr:rowOff>0</xdr:rowOff>
                  </from>
                  <to>
                    <xdr:col>1</xdr:col>
                    <xdr:colOff>3114675</xdr:colOff>
                    <xdr:row>6</xdr:row>
                    <xdr:rowOff>190500</xdr:rowOff>
                  </to>
                </anchor>
              </controlPr>
            </control>
          </mc:Choice>
        </mc:AlternateContent>
        <mc:AlternateContent xmlns:mc="http://schemas.openxmlformats.org/markup-compatibility/2006">
          <mc:Choice Requires="x14">
            <control shapeId="24580" r:id="rId5" name="Check Box 4">
              <controlPr locked="0" defaultSize="0" autoFill="0" autoLine="0" autoPict="0" altText="">
                <anchor moveWithCells="1">
                  <from>
                    <xdr:col>1</xdr:col>
                    <xdr:colOff>2924175</xdr:colOff>
                    <xdr:row>5</xdr:row>
                    <xdr:rowOff>0</xdr:rowOff>
                  </from>
                  <to>
                    <xdr:col>1</xdr:col>
                    <xdr:colOff>3114675</xdr:colOff>
                    <xdr:row>6</xdr:row>
                    <xdr:rowOff>190500</xdr:rowOff>
                  </to>
                </anchor>
              </controlPr>
            </control>
          </mc:Choice>
        </mc:AlternateContent>
        <mc:AlternateContent xmlns:mc="http://schemas.openxmlformats.org/markup-compatibility/2006">
          <mc:Choice Requires="x14">
            <control shapeId="24581" r:id="rId6" name="Check Box 5">
              <controlPr locked="0" defaultSize="0" autoFill="0" autoLine="0" autoPict="0" altText="">
                <anchor moveWithCells="1">
                  <from>
                    <xdr:col>1</xdr:col>
                    <xdr:colOff>2924175</xdr:colOff>
                    <xdr:row>7</xdr:row>
                    <xdr:rowOff>0</xdr:rowOff>
                  </from>
                  <to>
                    <xdr:col>1</xdr:col>
                    <xdr:colOff>3114675</xdr:colOff>
                    <xdr:row>7</xdr:row>
                    <xdr:rowOff>190500</xdr:rowOff>
                  </to>
                </anchor>
              </controlPr>
            </control>
          </mc:Choice>
        </mc:AlternateContent>
        <mc:AlternateContent xmlns:mc="http://schemas.openxmlformats.org/markup-compatibility/2006">
          <mc:Choice Requires="x14">
            <control shapeId="24582" r:id="rId7" name="Check Box 6">
              <controlPr locked="0" defaultSize="0" autoFill="0" autoLine="0" autoPict="0" altText="">
                <anchor moveWithCells="1">
                  <from>
                    <xdr:col>1</xdr:col>
                    <xdr:colOff>2924175</xdr:colOff>
                    <xdr:row>8</xdr:row>
                    <xdr:rowOff>0</xdr:rowOff>
                  </from>
                  <to>
                    <xdr:col>1</xdr:col>
                    <xdr:colOff>3114675</xdr:colOff>
                    <xdr:row>8</xdr:row>
                    <xdr:rowOff>190500</xdr:rowOff>
                  </to>
                </anchor>
              </controlPr>
            </control>
          </mc:Choice>
        </mc:AlternateContent>
        <mc:AlternateContent xmlns:mc="http://schemas.openxmlformats.org/markup-compatibility/2006">
          <mc:Choice Requires="x14">
            <control shapeId="24583" r:id="rId8" name="Check Box 7">
              <controlPr locked="0" defaultSize="0" autoFill="0" autoLine="0" autoPict="0" altText="">
                <anchor moveWithCells="1">
                  <from>
                    <xdr:col>1</xdr:col>
                    <xdr:colOff>2924175</xdr:colOff>
                    <xdr:row>9</xdr:row>
                    <xdr:rowOff>0</xdr:rowOff>
                  </from>
                  <to>
                    <xdr:col>1</xdr:col>
                    <xdr:colOff>3114675</xdr:colOff>
                    <xdr:row>9</xdr:row>
                    <xdr:rowOff>190500</xdr:rowOff>
                  </to>
                </anchor>
              </controlPr>
            </control>
          </mc:Choice>
        </mc:AlternateContent>
        <mc:AlternateContent xmlns:mc="http://schemas.openxmlformats.org/markup-compatibility/2006">
          <mc:Choice Requires="x14">
            <control shapeId="24584" r:id="rId9" name="Check Box 8">
              <controlPr locked="0" defaultSize="0" autoFill="0" autoLine="0" autoPict="0" altText="">
                <anchor moveWithCells="1">
                  <from>
                    <xdr:col>1</xdr:col>
                    <xdr:colOff>2924175</xdr:colOff>
                    <xdr:row>15</xdr:row>
                    <xdr:rowOff>0</xdr:rowOff>
                  </from>
                  <to>
                    <xdr:col>1</xdr:col>
                    <xdr:colOff>3114675</xdr:colOff>
                    <xdr:row>15</xdr:row>
                    <xdr:rowOff>190500</xdr:rowOff>
                  </to>
                </anchor>
              </controlPr>
            </control>
          </mc:Choice>
        </mc:AlternateContent>
        <mc:AlternateContent xmlns:mc="http://schemas.openxmlformats.org/markup-compatibility/2006">
          <mc:Choice Requires="x14">
            <control shapeId="24585" r:id="rId10" name="Check Box 9">
              <controlPr locked="0" defaultSize="0" autoFill="0" autoLine="0" autoPict="0" altText="">
                <anchor moveWithCells="1">
                  <from>
                    <xdr:col>1</xdr:col>
                    <xdr:colOff>2924175</xdr:colOff>
                    <xdr:row>10</xdr:row>
                    <xdr:rowOff>0</xdr:rowOff>
                  </from>
                  <to>
                    <xdr:col>1</xdr:col>
                    <xdr:colOff>3114675</xdr:colOff>
                    <xdr:row>10</xdr:row>
                    <xdr:rowOff>190500</xdr:rowOff>
                  </to>
                </anchor>
              </controlPr>
            </control>
          </mc:Choice>
        </mc:AlternateContent>
        <mc:AlternateContent xmlns:mc="http://schemas.openxmlformats.org/markup-compatibility/2006">
          <mc:Choice Requires="x14">
            <control shapeId="24586" r:id="rId11" name="Check Box 10">
              <controlPr locked="0" defaultSize="0" autoFill="0" autoLine="0" autoPict="0" altText="">
                <anchor moveWithCells="1">
                  <from>
                    <xdr:col>1</xdr:col>
                    <xdr:colOff>2924175</xdr:colOff>
                    <xdr:row>15</xdr:row>
                    <xdr:rowOff>0</xdr:rowOff>
                  </from>
                  <to>
                    <xdr:col>1</xdr:col>
                    <xdr:colOff>3114675</xdr:colOff>
                    <xdr:row>15</xdr:row>
                    <xdr:rowOff>190500</xdr:rowOff>
                  </to>
                </anchor>
              </controlPr>
            </control>
          </mc:Choice>
        </mc:AlternateContent>
        <mc:AlternateContent xmlns:mc="http://schemas.openxmlformats.org/markup-compatibility/2006">
          <mc:Choice Requires="x14">
            <control shapeId="24587" r:id="rId12" name="Check Box 11">
              <controlPr locked="0" defaultSize="0" autoFill="0" autoLine="0" autoPict="0" altText="">
                <anchor moveWithCells="1">
                  <from>
                    <xdr:col>1</xdr:col>
                    <xdr:colOff>2924175</xdr:colOff>
                    <xdr:row>16</xdr:row>
                    <xdr:rowOff>0</xdr:rowOff>
                  </from>
                  <to>
                    <xdr:col>1</xdr:col>
                    <xdr:colOff>3114675</xdr:colOff>
                    <xdr:row>16</xdr:row>
                    <xdr:rowOff>190500</xdr:rowOff>
                  </to>
                </anchor>
              </controlPr>
            </control>
          </mc:Choice>
        </mc:AlternateContent>
        <mc:AlternateContent xmlns:mc="http://schemas.openxmlformats.org/markup-compatibility/2006">
          <mc:Choice Requires="x14">
            <control shapeId="24588" r:id="rId13" name="Check Box 12">
              <controlPr defaultSize="0" autoFill="0" autoLine="0" autoPict="0" altText="">
                <anchor moveWithCells="1">
                  <from>
                    <xdr:col>1</xdr:col>
                    <xdr:colOff>2924175</xdr:colOff>
                    <xdr:row>10</xdr:row>
                    <xdr:rowOff>0</xdr:rowOff>
                  </from>
                  <to>
                    <xdr:col>1</xdr:col>
                    <xdr:colOff>3114675</xdr:colOff>
                    <xdr:row>10</xdr:row>
                    <xdr:rowOff>190500</xdr:rowOff>
                  </to>
                </anchor>
              </controlPr>
            </control>
          </mc:Choice>
        </mc:AlternateContent>
        <mc:AlternateContent xmlns:mc="http://schemas.openxmlformats.org/markup-compatibility/2006">
          <mc:Choice Requires="x14">
            <control shapeId="24589" r:id="rId14" name="Check Box 13">
              <controlPr locked="0" defaultSize="0" autoFill="0" autoLine="0" autoPict="0" altText="">
                <anchor moveWithCells="1">
                  <from>
                    <xdr:col>1</xdr:col>
                    <xdr:colOff>2924175</xdr:colOff>
                    <xdr:row>11</xdr:row>
                    <xdr:rowOff>0</xdr:rowOff>
                  </from>
                  <to>
                    <xdr:col>1</xdr:col>
                    <xdr:colOff>3114675</xdr:colOff>
                    <xdr:row>11</xdr:row>
                    <xdr:rowOff>190500</xdr:rowOff>
                  </to>
                </anchor>
              </controlPr>
            </control>
          </mc:Choice>
        </mc:AlternateContent>
        <mc:AlternateContent xmlns:mc="http://schemas.openxmlformats.org/markup-compatibility/2006">
          <mc:Choice Requires="x14">
            <control shapeId="24590" r:id="rId15" name="Check Box 14">
              <controlPr defaultSize="0" autoFill="0" autoLine="0" autoPict="0" altText="">
                <anchor moveWithCells="1">
                  <from>
                    <xdr:col>1</xdr:col>
                    <xdr:colOff>2924175</xdr:colOff>
                    <xdr:row>12</xdr:row>
                    <xdr:rowOff>0</xdr:rowOff>
                  </from>
                  <to>
                    <xdr:col>1</xdr:col>
                    <xdr:colOff>3114675</xdr:colOff>
                    <xdr:row>12</xdr:row>
                    <xdr:rowOff>190500</xdr:rowOff>
                  </to>
                </anchor>
              </controlPr>
            </control>
          </mc:Choice>
        </mc:AlternateContent>
        <mc:AlternateContent xmlns:mc="http://schemas.openxmlformats.org/markup-compatibility/2006">
          <mc:Choice Requires="x14">
            <control shapeId="24591" r:id="rId16" name="Check Box 15">
              <controlPr locked="0" defaultSize="0" autoFill="0" autoLine="0" autoPict="0" altText="">
                <anchor moveWithCells="1">
                  <from>
                    <xdr:col>1</xdr:col>
                    <xdr:colOff>2924175</xdr:colOff>
                    <xdr:row>12</xdr:row>
                    <xdr:rowOff>0</xdr:rowOff>
                  </from>
                  <to>
                    <xdr:col>1</xdr:col>
                    <xdr:colOff>3114675</xdr:colOff>
                    <xdr:row>12</xdr:row>
                    <xdr:rowOff>190500</xdr:rowOff>
                  </to>
                </anchor>
              </controlPr>
            </control>
          </mc:Choice>
        </mc:AlternateContent>
        <mc:AlternateContent xmlns:mc="http://schemas.openxmlformats.org/markup-compatibility/2006">
          <mc:Choice Requires="x14">
            <control shapeId="24592" r:id="rId17" name="Check Box 16">
              <controlPr locked="0" defaultSize="0" autoFill="0" autoLine="0" autoPict="0" altText="">
                <anchor moveWithCells="1">
                  <from>
                    <xdr:col>1</xdr:col>
                    <xdr:colOff>2924175</xdr:colOff>
                    <xdr:row>13</xdr:row>
                    <xdr:rowOff>0</xdr:rowOff>
                  </from>
                  <to>
                    <xdr:col>1</xdr:col>
                    <xdr:colOff>3114675</xdr:colOff>
                    <xdr:row>13</xdr:row>
                    <xdr:rowOff>190500</xdr:rowOff>
                  </to>
                </anchor>
              </controlPr>
            </control>
          </mc:Choice>
        </mc:AlternateContent>
        <mc:AlternateContent xmlns:mc="http://schemas.openxmlformats.org/markup-compatibility/2006">
          <mc:Choice Requires="x14">
            <control shapeId="24594" r:id="rId18" name="Check Box 18">
              <controlPr locked="0" defaultSize="0" autoFill="0" autoLine="0" autoPict="0" altText="">
                <anchor moveWithCells="1">
                  <from>
                    <xdr:col>1</xdr:col>
                    <xdr:colOff>2924175</xdr:colOff>
                    <xdr:row>14</xdr:row>
                    <xdr:rowOff>0</xdr:rowOff>
                  </from>
                  <to>
                    <xdr:col>1</xdr:col>
                    <xdr:colOff>3114675</xdr:colOff>
                    <xdr:row>14</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200-000001000000}">
          <x14:formula1>
            <xm:f>'Dosskey Coefficients'!$T$2:$T$4</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pageSetUpPr fitToPage="1"/>
  </sheetPr>
  <dimension ref="D1:H4"/>
  <sheetViews>
    <sheetView showGridLines="0" workbookViewId="0">
      <selection activeCell="E1" sqref="E1:H1"/>
    </sheetView>
  </sheetViews>
  <sheetFormatPr defaultRowHeight="15" x14ac:dyDescent="0.25"/>
  <cols>
    <col min="1" max="1" width="12" bestFit="1" customWidth="1"/>
    <col min="4" max="4" width="12" bestFit="1" customWidth="1"/>
  </cols>
  <sheetData>
    <row r="1" spans="4:8" s="56" customFormat="1" ht="18.75" x14ac:dyDescent="0.3">
      <c r="D1" s="125" t="s">
        <v>385</v>
      </c>
      <c r="E1" s="185"/>
      <c r="F1" s="185"/>
      <c r="G1" s="185"/>
      <c r="H1" s="185"/>
    </row>
    <row r="2" spans="4:8" s="56" customFormat="1" ht="18.75" x14ac:dyDescent="0.3">
      <c r="D2" s="125" t="s">
        <v>386</v>
      </c>
      <c r="E2" s="185"/>
      <c r="F2" s="185"/>
      <c r="G2" s="185"/>
      <c r="H2" s="185"/>
    </row>
    <row r="3" spans="4:8" s="56" customFormat="1" ht="18.75" x14ac:dyDescent="0.3">
      <c r="D3" s="125" t="s">
        <v>387</v>
      </c>
      <c r="E3" s="185"/>
      <c r="F3" s="185"/>
      <c r="G3" s="185"/>
      <c r="H3" s="185"/>
    </row>
    <row r="4" spans="4:8" s="56" customFormat="1" ht="18.75" x14ac:dyDescent="0.3">
      <c r="D4" s="125" t="s">
        <v>388</v>
      </c>
      <c r="E4" s="185"/>
      <c r="F4" s="185"/>
      <c r="G4" s="185"/>
      <c r="H4" s="185"/>
    </row>
  </sheetData>
  <mergeCells count="4">
    <mergeCell ref="E1:H1"/>
    <mergeCell ref="E2:H2"/>
    <mergeCell ref="E3:H3"/>
    <mergeCell ref="E4:H4"/>
  </mergeCells>
  <pageMargins left="0.7" right="0.7" top="0.75" bottom="0.75" header="0.3" footer="0.3"/>
  <pageSetup scale="7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3"/>
  <sheetViews>
    <sheetView workbookViewId="0">
      <selection activeCell="C9" sqref="C9"/>
    </sheetView>
  </sheetViews>
  <sheetFormatPr defaultRowHeight="15" x14ac:dyDescent="0.25"/>
  <cols>
    <col min="1" max="1" width="31.5703125" bestFit="1" customWidth="1"/>
    <col min="2" max="2" width="30.140625" bestFit="1" customWidth="1"/>
    <col min="3" max="3" width="26.140625" bestFit="1" customWidth="1"/>
    <col min="4" max="4" width="21.42578125" bestFit="1" customWidth="1"/>
    <col min="7" max="7" width="29" style="120" bestFit="1" customWidth="1"/>
    <col min="8" max="8" width="23" style="120" bestFit="1" customWidth="1"/>
    <col min="9" max="9" width="25.7109375" style="120" bestFit="1" customWidth="1"/>
    <col min="10" max="10" width="26.5703125" style="120" bestFit="1" customWidth="1"/>
    <col min="11" max="11" width="28.28515625" style="120" bestFit="1" customWidth="1"/>
    <col min="12" max="12" width="18.28515625" bestFit="1" customWidth="1"/>
  </cols>
  <sheetData>
    <row r="1" spans="1:11" ht="19.5" thickBot="1" x14ac:dyDescent="0.35">
      <c r="A1" s="66" t="s">
        <v>287</v>
      </c>
      <c r="B1" s="66" t="s">
        <v>183</v>
      </c>
      <c r="C1" s="66" t="s">
        <v>0</v>
      </c>
      <c r="D1" s="66" t="s">
        <v>1</v>
      </c>
      <c r="G1" s="186" t="s">
        <v>394</v>
      </c>
      <c r="H1" s="186"/>
      <c r="I1" s="186"/>
      <c r="J1" s="186"/>
      <c r="K1" s="186"/>
    </row>
    <row r="2" spans="1:11" x14ac:dyDescent="0.25">
      <c r="A2" s="65" t="s">
        <v>2</v>
      </c>
      <c r="B2" s="62" t="s">
        <v>3</v>
      </c>
      <c r="C2" s="61" t="s">
        <v>268</v>
      </c>
      <c r="D2" s="61" t="s">
        <v>5</v>
      </c>
    </row>
    <row r="3" spans="1:11" ht="15.75" x14ac:dyDescent="0.25">
      <c r="A3" s="64" t="s">
        <v>390</v>
      </c>
      <c r="B3" s="63" t="s">
        <v>391</v>
      </c>
      <c r="C3" s="60" t="s">
        <v>392</v>
      </c>
      <c r="D3" s="60" t="s">
        <v>393</v>
      </c>
      <c r="G3" s="124" t="s">
        <v>48</v>
      </c>
      <c r="H3" s="124" t="s">
        <v>70</v>
      </c>
      <c r="I3" s="124" t="s">
        <v>73</v>
      </c>
      <c r="J3" s="124" t="s">
        <v>383</v>
      </c>
      <c r="K3" s="124" t="s">
        <v>384</v>
      </c>
    </row>
    <row r="4" spans="1:11" x14ac:dyDescent="0.25">
      <c r="A4" s="64" t="s">
        <v>6</v>
      </c>
      <c r="B4" s="63" t="s">
        <v>7</v>
      </c>
      <c r="C4" s="60" t="s">
        <v>8</v>
      </c>
      <c r="D4" s="60" t="s">
        <v>9</v>
      </c>
      <c r="G4" s="120" t="s">
        <v>18</v>
      </c>
      <c r="H4" s="123">
        <v>37.548168745985144</v>
      </c>
      <c r="I4" s="120">
        <v>20</v>
      </c>
      <c r="J4" s="120">
        <v>60.160734680164097</v>
      </c>
      <c r="K4" s="120">
        <v>75.200918350205114</v>
      </c>
    </row>
    <row r="5" spans="1:11" x14ac:dyDescent="0.25">
      <c r="A5" s="64" t="s">
        <v>10</v>
      </c>
      <c r="B5" s="63" t="s">
        <v>7</v>
      </c>
      <c r="C5" s="60" t="s">
        <v>8</v>
      </c>
      <c r="D5" s="60" t="s">
        <v>9</v>
      </c>
      <c r="G5" s="120" t="s">
        <v>19</v>
      </c>
      <c r="H5" s="123">
        <v>32.489917379875038</v>
      </c>
      <c r="I5" s="120">
        <v>20</v>
      </c>
      <c r="J5" s="120">
        <v>25.263487818932795</v>
      </c>
      <c r="K5" s="120">
        <v>31.579359773665992</v>
      </c>
    </row>
    <row r="6" spans="1:11" x14ac:dyDescent="0.25">
      <c r="A6" s="64" t="s">
        <v>11</v>
      </c>
      <c r="B6" s="63" t="s">
        <v>12</v>
      </c>
      <c r="C6" s="60" t="s">
        <v>13</v>
      </c>
      <c r="D6" s="60" t="s">
        <v>14</v>
      </c>
      <c r="G6" s="120" t="s">
        <v>20</v>
      </c>
      <c r="H6" s="123">
        <v>33.866291845135898</v>
      </c>
      <c r="I6" s="120">
        <v>20</v>
      </c>
      <c r="J6" s="120">
        <v>66.114526790114283</v>
      </c>
      <c r="K6" s="120">
        <v>82.64315848764285</v>
      </c>
    </row>
    <row r="7" spans="1:11" x14ac:dyDescent="0.25">
      <c r="A7" s="64" t="s">
        <v>15</v>
      </c>
      <c r="B7" s="63" t="s">
        <v>16</v>
      </c>
      <c r="C7" s="60" t="s">
        <v>17</v>
      </c>
      <c r="D7" s="60" t="s">
        <v>17</v>
      </c>
      <c r="G7" s="120" t="s">
        <v>21</v>
      </c>
      <c r="H7" s="123">
        <v>43.482259630329871</v>
      </c>
      <c r="I7" s="120">
        <v>20</v>
      </c>
      <c r="J7" s="120">
        <v>49.950460888986299</v>
      </c>
      <c r="K7" s="120">
        <v>62.438076111232874</v>
      </c>
    </row>
    <row r="8" spans="1:11" x14ac:dyDescent="0.25">
      <c r="G8" s="120" t="s">
        <v>22</v>
      </c>
      <c r="H8" s="123">
        <v>16.435578043561748</v>
      </c>
      <c r="I8" s="120">
        <v>20</v>
      </c>
      <c r="J8" s="120">
        <v>67.987217440620356</v>
      </c>
      <c r="K8" s="120">
        <v>84.984021800775452</v>
      </c>
    </row>
    <row r="9" spans="1:11" x14ac:dyDescent="0.25">
      <c r="G9" s="120" t="s">
        <v>23</v>
      </c>
      <c r="H9" s="123">
        <v>37.036593946448811</v>
      </c>
      <c r="I9" s="120">
        <v>20</v>
      </c>
      <c r="J9" s="120">
        <v>54.888883699856528</v>
      </c>
      <c r="K9" s="120">
        <v>68.611104624820655</v>
      </c>
    </row>
    <row r="10" spans="1:11" x14ac:dyDescent="0.25">
      <c r="G10" s="120" t="s">
        <v>24</v>
      </c>
      <c r="H10" s="123">
        <v>23.288418920447924</v>
      </c>
      <c r="I10" s="120">
        <v>20</v>
      </c>
      <c r="J10" s="120">
        <v>70.345289009035042</v>
      </c>
      <c r="K10" s="120">
        <v>87.931611261293796</v>
      </c>
    </row>
    <row r="11" spans="1:11" x14ac:dyDescent="0.25">
      <c r="G11" s="120" t="s">
        <v>25</v>
      </c>
      <c r="H11" s="123">
        <v>33.073818628544494</v>
      </c>
      <c r="I11" s="120">
        <v>20</v>
      </c>
      <c r="J11" s="120">
        <v>76.674261704157914</v>
      </c>
      <c r="K11" s="120">
        <v>95.842827130197392</v>
      </c>
    </row>
    <row r="12" spans="1:11" ht="15" customHeight="1" x14ac:dyDescent="0.25">
      <c r="A12" s="187" t="s">
        <v>363</v>
      </c>
      <c r="B12" s="187"/>
      <c r="C12" s="187"/>
      <c r="D12" s="187"/>
      <c r="G12" s="120" t="s">
        <v>26</v>
      </c>
      <c r="H12" s="123">
        <v>29.869479602384459</v>
      </c>
      <c r="I12" s="120">
        <v>20</v>
      </c>
      <c r="J12" s="120">
        <v>64.46048827892497</v>
      </c>
      <c r="K12" s="120">
        <v>80.575610348656213</v>
      </c>
    </row>
    <row r="13" spans="1:11" x14ac:dyDescent="0.25">
      <c r="A13" s="187"/>
      <c r="B13" s="187"/>
      <c r="C13" s="187"/>
      <c r="D13" s="187"/>
      <c r="G13" s="120" t="s">
        <v>27</v>
      </c>
      <c r="H13" s="123">
        <v>15.18777849409498</v>
      </c>
      <c r="I13" s="120">
        <v>60</v>
      </c>
      <c r="J13" s="120">
        <v>71.086590140481633</v>
      </c>
      <c r="K13" s="120">
        <v>88.858237675602041</v>
      </c>
    </row>
    <row r="14" spans="1:11" x14ac:dyDescent="0.25">
      <c r="A14" s="187"/>
      <c r="B14" s="187"/>
      <c r="C14" s="187"/>
      <c r="D14" s="187"/>
      <c r="G14" s="120" t="s">
        <v>28</v>
      </c>
      <c r="H14" s="123">
        <v>18.638553239503384</v>
      </c>
      <c r="I14" s="120">
        <v>20</v>
      </c>
      <c r="J14" s="120">
        <v>48.604917312666302</v>
      </c>
      <c r="K14" s="120">
        <v>60.756146640832881</v>
      </c>
    </row>
    <row r="15" spans="1:11" x14ac:dyDescent="0.25">
      <c r="A15" s="187"/>
      <c r="B15" s="187"/>
      <c r="C15" s="187"/>
      <c r="D15" s="187"/>
      <c r="G15" s="120" t="s">
        <v>29</v>
      </c>
      <c r="H15" s="123">
        <v>26.9448444857093</v>
      </c>
      <c r="I15" s="120">
        <v>20</v>
      </c>
      <c r="J15" s="120">
        <v>70.920031321303568</v>
      </c>
      <c r="K15" s="120">
        <v>88.650039151629457</v>
      </c>
    </row>
    <row r="16" spans="1:11" x14ac:dyDescent="0.25">
      <c r="A16" s="187"/>
      <c r="B16" s="187"/>
      <c r="C16" s="187"/>
      <c r="D16" s="187"/>
      <c r="G16" s="120" t="s">
        <v>30</v>
      </c>
      <c r="H16" s="123">
        <v>23.697266350073978</v>
      </c>
      <c r="I16" s="120">
        <v>20</v>
      </c>
      <c r="J16" s="120">
        <v>65.439200624049732</v>
      </c>
      <c r="K16" s="120">
        <v>81.799000780062158</v>
      </c>
    </row>
    <row r="17" spans="1:11" x14ac:dyDescent="0.25">
      <c r="A17" s="187"/>
      <c r="B17" s="187"/>
      <c r="C17" s="187"/>
      <c r="D17" s="187"/>
      <c r="G17" s="120" t="s">
        <v>31</v>
      </c>
      <c r="H17" s="123">
        <v>33.945558739769993</v>
      </c>
      <c r="I17" s="120">
        <v>20</v>
      </c>
      <c r="J17" s="120">
        <v>16.995351416408958</v>
      </c>
      <c r="K17" s="120">
        <v>21.2441892705112</v>
      </c>
    </row>
    <row r="18" spans="1:11" x14ac:dyDescent="0.25">
      <c r="A18" s="187"/>
      <c r="B18" s="187"/>
      <c r="C18" s="187"/>
      <c r="D18" s="187"/>
      <c r="G18" s="120" t="s">
        <v>32</v>
      </c>
      <c r="H18" s="123">
        <v>20.522404994048429</v>
      </c>
      <c r="I18" s="120">
        <v>20</v>
      </c>
      <c r="J18" s="120">
        <v>75.582841351707884</v>
      </c>
      <c r="K18" s="120">
        <v>94.478551689634855</v>
      </c>
    </row>
    <row r="19" spans="1:11" x14ac:dyDescent="0.25">
      <c r="G19" s="120" t="s">
        <v>33</v>
      </c>
      <c r="H19" s="123">
        <v>33.45837256059437</v>
      </c>
      <c r="I19" s="120">
        <v>20</v>
      </c>
      <c r="J19" s="120">
        <v>71.866206248154541</v>
      </c>
      <c r="K19" s="120">
        <v>89.832757810193172</v>
      </c>
    </row>
    <row r="20" spans="1:11" x14ac:dyDescent="0.25">
      <c r="G20" s="120" t="s">
        <v>34</v>
      </c>
      <c r="H20" s="123">
        <v>32.178613130221855</v>
      </c>
      <c r="I20" s="120">
        <v>20</v>
      </c>
      <c r="J20" s="120">
        <v>66.637435847889833</v>
      </c>
      <c r="K20" s="120">
        <v>83.296794809862291</v>
      </c>
    </row>
    <row r="21" spans="1:11" x14ac:dyDescent="0.25">
      <c r="G21" s="120" t="s">
        <v>35</v>
      </c>
      <c r="H21" s="123">
        <v>29.200872625130224</v>
      </c>
      <c r="I21" s="120">
        <v>20</v>
      </c>
      <c r="J21" s="120">
        <v>43.454206781649845</v>
      </c>
      <c r="K21" s="120">
        <v>54.317758477062306</v>
      </c>
    </row>
    <row r="22" spans="1:11" x14ac:dyDescent="0.25">
      <c r="G22" s="120" t="s">
        <v>36</v>
      </c>
      <c r="H22" s="123">
        <v>32.619374177347623</v>
      </c>
      <c r="I22" s="120">
        <v>20</v>
      </c>
      <c r="J22" s="120">
        <v>55.449118241636718</v>
      </c>
      <c r="K22" s="120">
        <v>69.311397802045903</v>
      </c>
    </row>
    <row r="23" spans="1:11" x14ac:dyDescent="0.25">
      <c r="G23" s="120" t="s">
        <v>37</v>
      </c>
      <c r="H23" s="123">
        <v>32.008945744801103</v>
      </c>
      <c r="I23" s="120">
        <v>20</v>
      </c>
      <c r="J23" s="120">
        <v>59.863801437830993</v>
      </c>
      <c r="K23" s="120">
        <v>74.829751797288736</v>
      </c>
    </row>
    <row r="24" spans="1:11" x14ac:dyDescent="0.25">
      <c r="G24" s="120" t="s">
        <v>38</v>
      </c>
      <c r="H24" s="123">
        <v>35.542744246364407</v>
      </c>
      <c r="I24" s="120">
        <v>20</v>
      </c>
      <c r="J24" s="120">
        <v>57.242839799225592</v>
      </c>
      <c r="K24" s="120">
        <v>71.553549749031987</v>
      </c>
    </row>
    <row r="25" spans="1:11" x14ac:dyDescent="0.25">
      <c r="G25" s="120" t="s">
        <v>39</v>
      </c>
      <c r="H25" s="123">
        <v>36.289125055097138</v>
      </c>
      <c r="I25" s="120">
        <v>20</v>
      </c>
      <c r="J25" s="120">
        <v>52.862256410125298</v>
      </c>
      <c r="K25" s="120">
        <v>66.077820512656615</v>
      </c>
    </row>
    <row r="26" spans="1:11" x14ac:dyDescent="0.25">
      <c r="G26" s="120" t="s">
        <v>40</v>
      </c>
      <c r="H26" s="123">
        <v>32.863598657297686</v>
      </c>
      <c r="I26" s="120">
        <v>20</v>
      </c>
      <c r="J26" s="120">
        <v>64.903295181959308</v>
      </c>
      <c r="K26" s="120">
        <v>81.129118977449139</v>
      </c>
    </row>
    <row r="27" spans="1:11" x14ac:dyDescent="0.25">
      <c r="G27" s="120" t="s">
        <v>41</v>
      </c>
      <c r="H27" s="123">
        <v>28.543658813407408</v>
      </c>
      <c r="I27" s="120">
        <v>20</v>
      </c>
      <c r="J27" s="120">
        <v>80.430523182657808</v>
      </c>
      <c r="K27" s="120">
        <v>100.53815397832226</v>
      </c>
    </row>
    <row r="28" spans="1:11" x14ac:dyDescent="0.25">
      <c r="G28" s="120" t="s">
        <v>42</v>
      </c>
      <c r="H28" s="123">
        <v>18.824660793730857</v>
      </c>
      <c r="I28" s="120">
        <v>20</v>
      </c>
      <c r="J28" s="120">
        <v>65.084864936234851</v>
      </c>
      <c r="K28" s="120">
        <v>81.356081170293564</v>
      </c>
    </row>
    <row r="29" spans="1:11" x14ac:dyDescent="0.25">
      <c r="G29" s="120" t="s">
        <v>43</v>
      </c>
      <c r="H29" s="123">
        <v>20.35298257628682</v>
      </c>
      <c r="I29" s="120">
        <v>20</v>
      </c>
      <c r="J29" s="120">
        <v>83.258184841461798</v>
      </c>
      <c r="K29" s="120">
        <v>104.07273105182725</v>
      </c>
    </row>
    <row r="30" spans="1:11" x14ac:dyDescent="0.25">
      <c r="G30" s="120" t="s">
        <v>44</v>
      </c>
      <c r="H30" s="123">
        <v>28.813635520596907</v>
      </c>
      <c r="I30" s="120">
        <v>20</v>
      </c>
      <c r="J30" s="120">
        <v>69.444585005612524</v>
      </c>
      <c r="K30" s="120">
        <v>86.805731257015651</v>
      </c>
    </row>
    <row r="31" spans="1:11" x14ac:dyDescent="0.25">
      <c r="G31" s="120" t="s">
        <v>45</v>
      </c>
      <c r="H31" s="123">
        <v>18.242554052203719</v>
      </c>
      <c r="I31" s="120">
        <v>20</v>
      </c>
      <c r="J31" s="120">
        <v>69.054285407797181</v>
      </c>
      <c r="K31" s="120">
        <v>86.317856759746476</v>
      </c>
    </row>
    <row r="32" spans="1:11" x14ac:dyDescent="0.25">
      <c r="G32" s="120" t="s">
        <v>46</v>
      </c>
      <c r="H32" s="123">
        <v>36.485200618852097</v>
      </c>
      <c r="I32" s="120">
        <v>20</v>
      </c>
      <c r="J32" s="120">
        <v>71.338409804179776</v>
      </c>
      <c r="K32" s="120">
        <v>89.17301225522472</v>
      </c>
    </row>
    <row r="33" spans="7:11" x14ac:dyDescent="0.25">
      <c r="G33" s="120" t="s">
        <v>47</v>
      </c>
      <c r="H33" s="123">
        <v>31.20078140780679</v>
      </c>
      <c r="I33" s="120">
        <v>20</v>
      </c>
      <c r="J33" s="120">
        <v>72.943326453438388</v>
      </c>
      <c r="K33" s="120">
        <v>91.179158066797982</v>
      </c>
    </row>
  </sheetData>
  <sheetProtection password="C2EC" sheet="1" objects="1" scenarios="1" selectLockedCells="1" selectUnlockedCells="1"/>
  <mergeCells count="2">
    <mergeCell ref="G1:K1"/>
    <mergeCell ref="A12: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2" tint="-0.89999084444715716"/>
  </sheetPr>
  <dimension ref="A1:AC43"/>
  <sheetViews>
    <sheetView zoomScale="85" zoomScaleNormal="85" workbookViewId="0">
      <selection activeCell="V32" sqref="V32"/>
    </sheetView>
  </sheetViews>
  <sheetFormatPr defaultRowHeight="15" x14ac:dyDescent="0.25"/>
  <cols>
    <col min="1" max="1" width="37.140625" bestFit="1" customWidth="1"/>
    <col min="2" max="3" width="9.140625" customWidth="1"/>
  </cols>
  <sheetData>
    <row r="1" spans="1:29" ht="31.5" customHeight="1" x14ac:dyDescent="0.25">
      <c r="A1" s="7"/>
      <c r="B1" s="188" t="s">
        <v>133</v>
      </c>
      <c r="C1" s="188"/>
      <c r="D1" s="188" t="s">
        <v>134</v>
      </c>
      <c r="E1" s="188"/>
      <c r="F1" s="188" t="s">
        <v>135</v>
      </c>
      <c r="G1" s="188"/>
      <c r="H1" s="188" t="s">
        <v>136</v>
      </c>
      <c r="I1" s="188"/>
      <c r="J1" s="188" t="s">
        <v>375</v>
      </c>
      <c r="K1" s="188"/>
      <c r="L1" s="188" t="s">
        <v>138</v>
      </c>
      <c r="M1" s="188"/>
      <c r="N1" s="188" t="s">
        <v>139</v>
      </c>
      <c r="O1" s="188"/>
      <c r="P1" s="188" t="s">
        <v>140</v>
      </c>
      <c r="Q1" s="188"/>
      <c r="R1" s="188" t="s">
        <v>141</v>
      </c>
      <c r="S1" s="188"/>
      <c r="T1" s="188" t="s">
        <v>142</v>
      </c>
      <c r="U1" s="188"/>
      <c r="V1" s="188" t="s">
        <v>143</v>
      </c>
      <c r="W1" s="188"/>
      <c r="X1" s="188" t="s">
        <v>144</v>
      </c>
      <c r="Y1" s="188"/>
      <c r="Z1" s="188" t="s">
        <v>150</v>
      </c>
      <c r="AA1" s="188"/>
      <c r="AB1" s="189" t="s">
        <v>193</v>
      </c>
      <c r="AC1" s="189"/>
    </row>
    <row r="2" spans="1:29" x14ac:dyDescent="0.25">
      <c r="A2" s="3" t="s">
        <v>48</v>
      </c>
      <c r="B2" s="3" t="s">
        <v>145</v>
      </c>
      <c r="C2" s="3" t="s">
        <v>146</v>
      </c>
      <c r="D2" s="3" t="s">
        <v>145</v>
      </c>
      <c r="E2" s="3" t="s">
        <v>146</v>
      </c>
      <c r="F2" s="3" t="s">
        <v>145</v>
      </c>
      <c r="G2" s="3" t="s">
        <v>146</v>
      </c>
      <c r="H2" s="3" t="s">
        <v>145</v>
      </c>
      <c r="I2" s="3" t="s">
        <v>146</v>
      </c>
      <c r="J2" s="3" t="s">
        <v>145</v>
      </c>
      <c r="K2" s="3" t="s">
        <v>146</v>
      </c>
      <c r="L2" s="3" t="s">
        <v>145</v>
      </c>
      <c r="M2" s="3" t="s">
        <v>146</v>
      </c>
      <c r="N2" s="3" t="s">
        <v>145</v>
      </c>
      <c r="O2" s="3" t="s">
        <v>146</v>
      </c>
      <c r="P2" s="3" t="s">
        <v>145</v>
      </c>
      <c r="Q2" s="3" t="s">
        <v>146</v>
      </c>
      <c r="R2" s="3" t="s">
        <v>145</v>
      </c>
      <c r="S2" s="3" t="s">
        <v>146</v>
      </c>
      <c r="T2" s="3" t="s">
        <v>145</v>
      </c>
      <c r="U2" s="3" t="s">
        <v>146</v>
      </c>
      <c r="V2" s="3" t="s">
        <v>145</v>
      </c>
      <c r="W2" s="3" t="s">
        <v>146</v>
      </c>
      <c r="X2" s="3" t="s">
        <v>145</v>
      </c>
      <c r="Y2" s="3" t="s">
        <v>146</v>
      </c>
      <c r="Z2" s="3" t="s">
        <v>145</v>
      </c>
      <c r="AA2" s="3" t="s">
        <v>146</v>
      </c>
      <c r="AB2" s="47" t="s">
        <v>145</v>
      </c>
      <c r="AC2" s="47" t="s">
        <v>146</v>
      </c>
    </row>
    <row r="3" spans="1:29" x14ac:dyDescent="0.25">
      <c r="A3" s="3" t="s">
        <v>87</v>
      </c>
      <c r="B3" s="45">
        <f>IF(INDEX('Dosskey Coefficients'!$N$2:$N$20,MATCH('(STEP 1) Baseline Conditions'!$B$14,'Dosskey Coefficients'!$K$2:$K$20,0),0)&lt;0,('BMP Suitability 01'!B3*'BMP Removal Rates'!$B$38)/100, 'BMP Suitability 01'!B3*'BMP Removal Rates'!$B$39/100)</f>
        <v>0</v>
      </c>
      <c r="C3" s="45">
        <f>IF(INDEX('Dosskey Coefficients'!$N$2:$N$20,MATCH('(STEP 1) Baseline Conditions'!$B$14,'Dosskey Coefficients'!$K$2:$K$20,0),0)&lt;0,('BMP Suitability 01'!C3*$C$38)/100, 'BMP Suitability 01'!C3*$C$39/100)</f>
        <v>0</v>
      </c>
      <c r="D3" s="45">
        <f>('BMP Suitability 01'!D3*'BMP Removal Rates'!$D$38)/100</f>
        <v>0.62</v>
      </c>
      <c r="E3" s="45">
        <f>('BMP Suitability 01'!E3*'BMP Removal Rates'!$E$38)/100</f>
        <v>0.38500000000000001</v>
      </c>
      <c r="F3" s="45">
        <f>('BMP Suitability 01'!F3*'BMP Removal Rates'!$F$38)/100</f>
        <v>0.4</v>
      </c>
      <c r="G3" s="45">
        <f>('BMP Suitability 01'!G3*'BMP Removal Rates'!$G$38)/100</f>
        <v>0.75</v>
      </c>
      <c r="H3" s="45">
        <f>('BMP Suitability 01'!H3*'BMP Removal Rates'!$H$38)/100</f>
        <v>0.95</v>
      </c>
      <c r="I3" s="45">
        <f>('BMP Suitability 01'!I3*'BMP Removal Rates'!$I$38)/100</f>
        <v>0.85</v>
      </c>
      <c r="J3" s="45">
        <f>('BMP Suitability 01'!J3*'BMP Removal Rates'!$J$38)/100</f>
        <v>0.9</v>
      </c>
      <c r="K3" s="45">
        <f>('BMP Suitability 01'!K3*'BMP Removal Rates'!$K$38)/100</f>
        <v>0.75</v>
      </c>
      <c r="L3" s="45">
        <f>('BMP Suitability 01'!L3*'BMP Removal Rates'!$L$38)/100</f>
        <v>0</v>
      </c>
      <c r="M3" s="45">
        <f>('BMP Suitability 01'!M3*'BMP Removal Rates'!$M$38)/100</f>
        <v>0</v>
      </c>
      <c r="N3" s="110">
        <f>IF('(STEP 1) Baseline Conditions'!$B$6="Poor",('BMP Suitability 01'!N3*'BMP Removal Rates'!N$41)/100, IF('(STEP 1) Baseline Conditions'!$B$6="Average", ('BMP Suitability 01'!N3*'BMP Removal Rates'!N$42)/100, IF('(STEP 1) Baseline Conditions'!$B$6="Best",('BMP Suitability 01'!N3*'BMP Removal Rates'!N$38)/100)))</f>
        <v>0.82</v>
      </c>
      <c r="O3" s="110">
        <f>IF('(STEP 1) Baseline Conditions'!$B$6="Poor",('BMP Suitability 01'!O3*'BMP Removal Rates'!O$41)/100, IF('(STEP 1) Baseline Conditions'!$B$6="Average", ('BMP Suitability 01'!O3*'BMP Removal Rates'!O$42)/100, IF('(STEP 1) Baseline Conditions'!$B$6="Best",('BMP Suitability 01'!O3*'BMP Removal Rates'!O$38)/100)))</f>
        <v>0.21</v>
      </c>
      <c r="P3" s="110">
        <f>IF('(STEP 1) Baseline Conditions'!$B$6="Poor",('BMP Suitability 01'!P3*'BMP Removal Rates'!P$41)/100, IF('(STEP 1) Baseline Conditions'!$B$6="Average", ('BMP Suitability 01'!P3*'BMP Removal Rates'!P$42)/100, IF('(STEP 1) Baseline Conditions'!$B$6="Best",('BMP Suitability 01'!P3*'BMP Removal Rates'!P$38)/100)))</f>
        <v>0</v>
      </c>
      <c r="Q3" s="110">
        <f>IF('(STEP 1) Baseline Conditions'!$B$6="Poor",('BMP Suitability 01'!Q3*'BMP Removal Rates'!Q$41)/100, IF('(STEP 1) Baseline Conditions'!$B$6="Average", ('BMP Suitability 01'!Q3*'BMP Removal Rates'!Q$42)/100, IF('(STEP 1) Baseline Conditions'!$B$6="Best",('BMP Suitability 01'!Q3*'BMP Removal Rates'!Q$38)/100)))</f>
        <v>0</v>
      </c>
      <c r="R3" s="110">
        <f>IF('(STEP 1) Baseline Conditions'!$B$6="Poor",('BMP Suitability 01'!R3*'BMP Removal Rates'!R$41)/100, IF('(STEP 1) Baseline Conditions'!$B$6="Average", ('BMP Suitability 01'!R3*'BMP Removal Rates'!R$42)/100, IF('(STEP 1) Baseline Conditions'!$B$6="Best",('BMP Suitability 01'!R3*'BMP Removal Rates'!R$38)/100)))</f>
        <v>0</v>
      </c>
      <c r="S3" s="110">
        <f>IF('(STEP 1) Baseline Conditions'!$B$6="Poor",('BMP Suitability 01'!S3*'BMP Removal Rates'!S$41)/100, IF('(STEP 1) Baseline Conditions'!$B$6="Average", ('BMP Suitability 01'!S3*'BMP Removal Rates'!S$42)/100, IF('(STEP 1) Baseline Conditions'!$B$6="Best",('BMP Suitability 01'!S3*'BMP Removal Rates'!S$38)/100)))</f>
        <v>0</v>
      </c>
      <c r="T3" s="110">
        <f>IF('(STEP 1) Baseline Conditions'!$B$6="Poor",('BMP Suitability 01'!T3*'BMP Removal Rates'!T$41)/100, IF('(STEP 1) Baseline Conditions'!$B$6="Average", ('BMP Suitability 01'!T3*'BMP Removal Rates'!T$42)/100, IF('(STEP 1) Baseline Conditions'!$B$6="Best",('BMP Suitability 01'!T3*'BMP Removal Rates'!T$38)/100)))</f>
        <v>0.79749999999999999</v>
      </c>
      <c r="U3" s="110">
        <f>IF('(STEP 1) Baseline Conditions'!$B$6="Poor",('BMP Suitability 01'!U3*'BMP Removal Rates'!U$41)/100, IF('(STEP 1) Baseline Conditions'!$B$6="Average", ('BMP Suitability 01'!U3*'BMP Removal Rates'!U$42)/100, IF('(STEP 1) Baseline Conditions'!$B$6="Best",('BMP Suitability 01'!U3*'BMP Removal Rates'!U$38)/100)))</f>
        <v>0.52500000000000002</v>
      </c>
      <c r="V3" s="110">
        <f>IF('(STEP 1) Baseline Conditions'!$B$6="Poor",('BMP Suitability 01'!V3*'BMP Removal Rates'!V$41)/100, IF('(STEP 1) Baseline Conditions'!$B$6="Average", ('BMP Suitability 01'!V3*'BMP Removal Rates'!V$42)/100, IF('(STEP 1) Baseline Conditions'!$B$6="Best",('BMP Suitability 01'!V3*'BMP Removal Rates'!V$38)/100)))</f>
        <v>0.72750000000000004</v>
      </c>
      <c r="W3" s="110">
        <f>IF('(STEP 1) Baseline Conditions'!$B$6="Poor",('BMP Suitability 01'!W3*'BMP Removal Rates'!W$41)/100, IF('(STEP 1) Baseline Conditions'!$B$6="Average", ('BMP Suitability 01'!W3*'BMP Removal Rates'!W$42)/100, IF('(STEP 1) Baseline Conditions'!$B$6="Best",('BMP Suitability 01'!W3*'BMP Removal Rates'!W$38)/100)))</f>
        <v>0.755</v>
      </c>
      <c r="X3" s="110">
        <f>IF('(STEP 1) Baseline Conditions'!$B$6="Poor",('BMP Suitability 01'!X3*'BMP Removal Rates'!X$41)/100, IF('(STEP 1) Baseline Conditions'!$B$6="Average", ('BMP Suitability 01'!X3*'BMP Removal Rates'!X$42)/100, IF('(STEP 1) Baseline Conditions'!$B$6="Best",('BMP Suitability 01'!X3*'BMP Removal Rates'!X$38)/100)))</f>
        <v>0</v>
      </c>
      <c r="Y3" s="110">
        <f>IF('(STEP 1) Baseline Conditions'!$B$6="Poor",('BMP Suitability 01'!Y3*'BMP Removal Rates'!Y$41)/100, IF('(STEP 1) Baseline Conditions'!$B$6="Average", ('BMP Suitability 01'!Y3*'BMP Removal Rates'!Y$42)/100, IF('(STEP 1) Baseline Conditions'!$B$6="Best",('BMP Suitability 01'!Y3*'BMP Removal Rates'!Y$38)/100)))</f>
        <v>0</v>
      </c>
      <c r="Z3" s="110">
        <f>IF('(STEP 1) Baseline Conditions'!$B$6="Poor",('BMP Suitability 01'!Z3*'BMP Removal Rates'!Z$41)/100, IF('(STEP 1) Baseline Conditions'!$B$6="Average", ('BMP Suitability 01'!Z3*'BMP Removal Rates'!Z$42)/100, IF('(STEP 1) Baseline Conditions'!$B$6="Best",('BMP Suitability 01'!Z3*'BMP Removal Rates'!Z$38)/100)))</f>
        <v>0.75</v>
      </c>
      <c r="AA3" s="110">
        <f>IF('(STEP 1) Baseline Conditions'!$B$6="Poor",('BMP Suitability 01'!AA3*'BMP Removal Rates'!AA$41)/100, IF('(STEP 1) Baseline Conditions'!$B$6="Average", ('BMP Suitability 01'!AA3*'BMP Removal Rates'!AA$42)/100, IF('(STEP 1) Baseline Conditions'!$B$6="Best",('BMP Suitability 01'!AA3*'BMP Removal Rates'!AA$38)/100)))</f>
        <v>0.71750000000000003</v>
      </c>
      <c r="AB3" s="110">
        <f>IF('(STEP 1) Baseline Conditions'!$B$6="Poor",('BMP Suitability 01'!AB3*'BMP Removal Rates'!AB$41)/100, IF('(STEP 1) Baseline Conditions'!$B$6="Average", ('BMP Suitability 01'!AB3*'BMP Removal Rates'!AB$42)/100, IF('(STEP 1) Baseline Conditions'!$B$6="Best",('BMP Suitability 01'!AB3*'BMP Removal Rates'!AB$38)/100)))</f>
        <v>0</v>
      </c>
      <c r="AC3" s="110">
        <f>IF('(STEP 1) Baseline Conditions'!$B$6="Poor",('BMP Suitability 01'!AC3*'BMP Removal Rates'!AC$41)/100, IF('(STEP 1) Baseline Conditions'!$B$6="Average", ('BMP Suitability 01'!AC3*'BMP Removal Rates'!AC$42)/100, IF('(STEP 1) Baseline Conditions'!$B$6="Best",('BMP Suitability 01'!AC3*'BMP Removal Rates'!AC$38)/100)))</f>
        <v>0</v>
      </c>
    </row>
    <row r="4" spans="1:29" x14ac:dyDescent="0.25">
      <c r="A4" s="3" t="s">
        <v>19</v>
      </c>
      <c r="B4" s="45">
        <f>IF(INDEX('Dosskey Coefficients'!$N$2:$N$20,MATCH('(STEP 1) Baseline Conditions'!$B$14,'Dosskey Coefficients'!$K$2:$K$20,0),0)&lt;0,('BMP Suitability 01'!B4*'BMP Removal Rates'!$B$38)/100, 'BMP Suitability 01'!B4*'BMP Removal Rates'!$B$39/100)</f>
        <v>0</v>
      </c>
      <c r="C4" s="45">
        <f>IF(INDEX('Dosskey Coefficients'!$N$2:$N$20,MATCH('(STEP 1) Baseline Conditions'!$B$14,'Dosskey Coefficients'!$K$2:$K$20,0),0)&lt;0,('BMP Suitability 01'!C4*$C$38)/100, 'BMP Suitability 01'!C4*$C$39/100)</f>
        <v>0</v>
      </c>
      <c r="D4" s="45">
        <f>('BMP Suitability 01'!D4*'BMP Removal Rates'!$D$38)/100</f>
        <v>0.62</v>
      </c>
      <c r="E4" s="45">
        <f>('BMP Suitability 01'!E4*'BMP Removal Rates'!$E$38)/100</f>
        <v>0.38500000000000001</v>
      </c>
      <c r="F4" s="45">
        <f>('BMP Suitability 01'!F4*'BMP Removal Rates'!$F$38)/100</f>
        <v>0.4</v>
      </c>
      <c r="G4" s="45">
        <f>('BMP Suitability 01'!G4*'BMP Removal Rates'!$G$38)/100</f>
        <v>0.75</v>
      </c>
      <c r="H4" s="45">
        <f>('BMP Suitability 01'!H4*'BMP Removal Rates'!$H$38)/100</f>
        <v>0.95</v>
      </c>
      <c r="I4" s="45">
        <f>('BMP Suitability 01'!I4*'BMP Removal Rates'!$I$38)/100</f>
        <v>0.85</v>
      </c>
      <c r="J4" s="45">
        <f>('BMP Suitability 01'!J4*'BMP Removal Rates'!$J$38)/100</f>
        <v>0.9</v>
      </c>
      <c r="K4" s="45">
        <f>('BMP Suitability 01'!K4*'BMP Removal Rates'!$K$38)/100</f>
        <v>0.75</v>
      </c>
      <c r="L4" s="45">
        <f>('BMP Suitability 01'!L4*'BMP Removal Rates'!$L$38)/100</f>
        <v>0</v>
      </c>
      <c r="M4" s="45">
        <f>('BMP Suitability 01'!M4*'BMP Removal Rates'!$M$38)/100</f>
        <v>0</v>
      </c>
      <c r="N4" s="110">
        <f>IF('(STEP 1) Baseline Conditions'!$B$6="Poor",('BMP Suitability 01'!N4*'BMP Removal Rates'!N$41)/100, IF('(STEP 1) Baseline Conditions'!$B$6="Average", ('BMP Suitability 01'!N4*'BMP Removal Rates'!N$42)/100, IF('(STEP 1) Baseline Conditions'!$B$6="Best",('BMP Suitability 01'!N4*'BMP Removal Rates'!N$38)/100)))</f>
        <v>0</v>
      </c>
      <c r="O4" s="110">
        <f>IF('(STEP 1) Baseline Conditions'!$B$6="Poor",('BMP Suitability 01'!O4*'BMP Removal Rates'!O$41)/100, IF('(STEP 1) Baseline Conditions'!$B$6="Average", ('BMP Suitability 01'!O4*'BMP Removal Rates'!O$42)/100, IF('(STEP 1) Baseline Conditions'!$B$6="Best",('BMP Suitability 01'!O4*'BMP Removal Rates'!O$38)/100)))</f>
        <v>0</v>
      </c>
      <c r="P4" s="110">
        <f>IF('(STEP 1) Baseline Conditions'!$B$6="Poor",('BMP Suitability 01'!P4*'BMP Removal Rates'!P$41)/100, IF('(STEP 1) Baseline Conditions'!$B$6="Average", ('BMP Suitability 01'!P4*'BMP Removal Rates'!P$42)/100, IF('(STEP 1) Baseline Conditions'!$B$6="Best",('BMP Suitability 01'!P4*'BMP Removal Rates'!P$38)/100)))</f>
        <v>0</v>
      </c>
      <c r="Q4" s="110">
        <f>IF('(STEP 1) Baseline Conditions'!$B$6="Poor",('BMP Suitability 01'!Q4*'BMP Removal Rates'!Q$41)/100, IF('(STEP 1) Baseline Conditions'!$B$6="Average", ('BMP Suitability 01'!Q4*'BMP Removal Rates'!Q$42)/100, IF('(STEP 1) Baseline Conditions'!$B$6="Best",('BMP Suitability 01'!Q4*'BMP Removal Rates'!Q$38)/100)))</f>
        <v>0</v>
      </c>
      <c r="R4" s="110">
        <f>IF('(STEP 1) Baseline Conditions'!$B$6="Poor",('BMP Suitability 01'!R4*'BMP Removal Rates'!R$41)/100, IF('(STEP 1) Baseline Conditions'!$B$6="Average", ('BMP Suitability 01'!R4*'BMP Removal Rates'!R$42)/100, IF('(STEP 1) Baseline Conditions'!$B$6="Best",('BMP Suitability 01'!R4*'BMP Removal Rates'!R$38)/100)))</f>
        <v>0</v>
      </c>
      <c r="S4" s="110">
        <f>IF('(STEP 1) Baseline Conditions'!$B$6="Poor",('BMP Suitability 01'!S4*'BMP Removal Rates'!S$41)/100, IF('(STEP 1) Baseline Conditions'!$B$6="Average", ('BMP Suitability 01'!S4*'BMP Removal Rates'!S$42)/100, IF('(STEP 1) Baseline Conditions'!$B$6="Best",('BMP Suitability 01'!S4*'BMP Removal Rates'!S$38)/100)))</f>
        <v>0</v>
      </c>
      <c r="T4" s="110">
        <f>IF('(STEP 1) Baseline Conditions'!$B$6="Poor",('BMP Suitability 01'!T4*'BMP Removal Rates'!T$41)/100, IF('(STEP 1) Baseline Conditions'!$B$6="Average", ('BMP Suitability 01'!T4*'BMP Removal Rates'!T$42)/100, IF('(STEP 1) Baseline Conditions'!$B$6="Best",('BMP Suitability 01'!T4*'BMP Removal Rates'!T$38)/100)))</f>
        <v>0.79749999999999999</v>
      </c>
      <c r="U4" s="110">
        <f>IF('(STEP 1) Baseline Conditions'!$B$6="Poor",('BMP Suitability 01'!U4*'BMP Removal Rates'!U$41)/100, IF('(STEP 1) Baseline Conditions'!$B$6="Average", ('BMP Suitability 01'!U4*'BMP Removal Rates'!U$42)/100, IF('(STEP 1) Baseline Conditions'!$B$6="Best",('BMP Suitability 01'!U4*'BMP Removal Rates'!U$38)/100)))</f>
        <v>0.52500000000000002</v>
      </c>
      <c r="V4" s="110">
        <f>IF('(STEP 1) Baseline Conditions'!$B$6="Poor",('BMP Suitability 01'!V4*'BMP Removal Rates'!V$41)/100, IF('(STEP 1) Baseline Conditions'!$B$6="Average", ('BMP Suitability 01'!V4*'BMP Removal Rates'!V$42)/100, IF('(STEP 1) Baseline Conditions'!$B$6="Best",('BMP Suitability 01'!V4*'BMP Removal Rates'!V$38)/100)))</f>
        <v>0</v>
      </c>
      <c r="W4" s="110">
        <f>IF('(STEP 1) Baseline Conditions'!$B$6="Poor",('BMP Suitability 01'!W4*'BMP Removal Rates'!W$41)/100, IF('(STEP 1) Baseline Conditions'!$B$6="Average", ('BMP Suitability 01'!W4*'BMP Removal Rates'!W$42)/100, IF('(STEP 1) Baseline Conditions'!$B$6="Best",('BMP Suitability 01'!W4*'BMP Removal Rates'!W$38)/100)))</f>
        <v>0</v>
      </c>
      <c r="X4" s="110">
        <f>IF('(STEP 1) Baseline Conditions'!$B$6="Poor",('BMP Suitability 01'!X4*'BMP Removal Rates'!X$41)/100, IF('(STEP 1) Baseline Conditions'!$B$6="Average", ('BMP Suitability 01'!X4*'BMP Removal Rates'!X$42)/100, IF('(STEP 1) Baseline Conditions'!$B$6="Best",('BMP Suitability 01'!X4*'BMP Removal Rates'!X$38)/100)))</f>
        <v>0</v>
      </c>
      <c r="Y4" s="110">
        <f>IF('(STEP 1) Baseline Conditions'!$B$6="Poor",('BMP Suitability 01'!Y4*'BMP Removal Rates'!Y$41)/100, IF('(STEP 1) Baseline Conditions'!$B$6="Average", ('BMP Suitability 01'!Y4*'BMP Removal Rates'!Y$42)/100, IF('(STEP 1) Baseline Conditions'!$B$6="Best",('BMP Suitability 01'!Y4*'BMP Removal Rates'!Y$38)/100)))</f>
        <v>0</v>
      </c>
      <c r="Z4" s="110">
        <f>IF('(STEP 1) Baseline Conditions'!$B$6="Poor",('BMP Suitability 01'!Z4*'BMP Removal Rates'!Z$41)/100, IF('(STEP 1) Baseline Conditions'!$B$6="Average", ('BMP Suitability 01'!Z4*'BMP Removal Rates'!Z$42)/100, IF('(STEP 1) Baseline Conditions'!$B$6="Best",('BMP Suitability 01'!Z4*'BMP Removal Rates'!Z$38)/100)))</f>
        <v>0.75</v>
      </c>
      <c r="AA4" s="110">
        <f>IF('(STEP 1) Baseline Conditions'!$B$6="Poor",('BMP Suitability 01'!AA4*'BMP Removal Rates'!AA$41)/100, IF('(STEP 1) Baseline Conditions'!$B$6="Average", ('BMP Suitability 01'!AA4*'BMP Removal Rates'!AA$42)/100, IF('(STEP 1) Baseline Conditions'!$B$6="Best",('BMP Suitability 01'!AA4*'BMP Removal Rates'!AA$38)/100)))</f>
        <v>0.71750000000000003</v>
      </c>
      <c r="AB4" s="110">
        <f>IF('(STEP 1) Baseline Conditions'!$B$6="Poor",('BMP Suitability 01'!AB4*'BMP Removal Rates'!AB$41)/100, IF('(STEP 1) Baseline Conditions'!$B$6="Average", ('BMP Suitability 01'!AB4*'BMP Removal Rates'!AB$42)/100, IF('(STEP 1) Baseline Conditions'!$B$6="Best",('BMP Suitability 01'!AB4*'BMP Removal Rates'!AB$38)/100)))</f>
        <v>0.55437499999999995</v>
      </c>
      <c r="AC4" s="110">
        <f>IF('(STEP 1) Baseline Conditions'!$B$6="Poor",('BMP Suitability 01'!AC4*'BMP Removal Rates'!AC$41)/100, IF('(STEP 1) Baseline Conditions'!$B$6="Average", ('BMP Suitability 01'!AC4*'BMP Removal Rates'!AC$42)/100, IF('(STEP 1) Baseline Conditions'!$B$6="Best",('BMP Suitability 01'!AC4*'BMP Removal Rates'!AC$38)/100)))</f>
        <v>0.62</v>
      </c>
    </row>
    <row r="5" spans="1:29" x14ac:dyDescent="0.25">
      <c r="A5" s="3" t="s">
        <v>20</v>
      </c>
      <c r="B5" s="45">
        <f>IF(INDEX('Dosskey Coefficients'!$N$2:$N$20,MATCH('(STEP 1) Baseline Conditions'!$B$14,'Dosskey Coefficients'!$K$2:$K$20,0),0)&lt;0,('BMP Suitability 01'!B5*'BMP Removal Rates'!$B$38)/100, 'BMP Suitability 01'!B5*'BMP Removal Rates'!$B$39/100)</f>
        <v>0.87</v>
      </c>
      <c r="C5" s="45">
        <f>IF(INDEX('Dosskey Coefficients'!$N$2:$N$20,MATCH('(STEP 1) Baseline Conditions'!$B$14,'Dosskey Coefficients'!$K$2:$K$20,0),0)&lt;0,('BMP Suitability 01'!C5*$C$38)/100, 'BMP Suitability 01'!C5*$C$39/100)</f>
        <v>0.64500000000000002</v>
      </c>
      <c r="D5" s="45">
        <f>('BMP Suitability 01'!D5*'BMP Removal Rates'!$D$38)/100</f>
        <v>0.62</v>
      </c>
      <c r="E5" s="45">
        <f>('BMP Suitability 01'!E5*'BMP Removal Rates'!$E$38)/100</f>
        <v>0.38500000000000001</v>
      </c>
      <c r="F5" s="45">
        <f>('BMP Suitability 01'!F5*'BMP Removal Rates'!$F$38)/100</f>
        <v>0.4</v>
      </c>
      <c r="G5" s="45">
        <f>('BMP Suitability 01'!G5*'BMP Removal Rates'!$G$38)/100</f>
        <v>0.75</v>
      </c>
      <c r="H5" s="45">
        <f>('BMP Suitability 01'!H5*'BMP Removal Rates'!$H$38)/100</f>
        <v>0.95</v>
      </c>
      <c r="I5" s="45">
        <f>('BMP Suitability 01'!I5*'BMP Removal Rates'!$I$38)/100</f>
        <v>0.85</v>
      </c>
      <c r="J5" s="45">
        <f>('BMP Suitability 01'!J5*'BMP Removal Rates'!$J$38)/100</f>
        <v>0.9</v>
      </c>
      <c r="K5" s="45">
        <f>('BMP Suitability 01'!K5*'BMP Removal Rates'!$K$38)/100</f>
        <v>0.75</v>
      </c>
      <c r="L5" s="45">
        <f>('BMP Suitability 01'!L5*'BMP Removal Rates'!$L$38)/100</f>
        <v>0.69</v>
      </c>
      <c r="M5" s="45">
        <f>('BMP Suitability 01'!M5*'BMP Removal Rates'!$M$38)/100</f>
        <v>0.77500000000000002</v>
      </c>
      <c r="N5" s="110">
        <f>IF('(STEP 1) Baseline Conditions'!$B$6="Poor",('BMP Suitability 01'!N5*'BMP Removal Rates'!N$41)/100, IF('(STEP 1) Baseline Conditions'!$B$6="Average", ('BMP Suitability 01'!N5*'BMP Removal Rates'!N$42)/100, IF('(STEP 1) Baseline Conditions'!$B$6="Best",('BMP Suitability 01'!N5*'BMP Removal Rates'!N$38)/100)))</f>
        <v>0.82</v>
      </c>
      <c r="O5" s="110">
        <f>IF('(STEP 1) Baseline Conditions'!$B$6="Poor",('BMP Suitability 01'!O5*'BMP Removal Rates'!O$41)/100, IF('(STEP 1) Baseline Conditions'!$B$6="Average", ('BMP Suitability 01'!O5*'BMP Removal Rates'!O$42)/100, IF('(STEP 1) Baseline Conditions'!$B$6="Best",('BMP Suitability 01'!O5*'BMP Removal Rates'!O$38)/100)))</f>
        <v>0.21</v>
      </c>
      <c r="P5" s="110">
        <f>IF('(STEP 1) Baseline Conditions'!$B$6="Poor",('BMP Suitability 01'!P5*'BMP Removal Rates'!P$41)/100, IF('(STEP 1) Baseline Conditions'!$B$6="Average", ('BMP Suitability 01'!P5*'BMP Removal Rates'!P$42)/100, IF('(STEP 1) Baseline Conditions'!$B$6="Best",('BMP Suitability 01'!P5*'BMP Removal Rates'!P$38)/100)))</f>
        <v>0.83750000000000002</v>
      </c>
      <c r="Q5" s="110">
        <f>IF('(STEP 1) Baseline Conditions'!$B$6="Poor",('BMP Suitability 01'!Q5*'BMP Removal Rates'!Q$41)/100, IF('(STEP 1) Baseline Conditions'!$B$6="Average", ('BMP Suitability 01'!Q5*'BMP Removal Rates'!Q$42)/100, IF('(STEP 1) Baseline Conditions'!$B$6="Best",('BMP Suitability 01'!Q5*'BMP Removal Rates'!Q$38)/100)))</f>
        <v>0.73750000000000004</v>
      </c>
      <c r="R5" s="110">
        <f>IF('(STEP 1) Baseline Conditions'!$B$6="Poor",('BMP Suitability 01'!R5*'BMP Removal Rates'!R$41)/100, IF('(STEP 1) Baseline Conditions'!$B$6="Average", ('BMP Suitability 01'!R5*'BMP Removal Rates'!R$42)/100, IF('(STEP 1) Baseline Conditions'!$B$6="Best",('BMP Suitability 01'!R5*'BMP Removal Rates'!R$38)/100)))</f>
        <v>0</v>
      </c>
      <c r="S5" s="110">
        <f>IF('(STEP 1) Baseline Conditions'!$B$6="Poor",('BMP Suitability 01'!S5*'BMP Removal Rates'!S$41)/100, IF('(STEP 1) Baseline Conditions'!$B$6="Average", ('BMP Suitability 01'!S5*'BMP Removal Rates'!S$42)/100, IF('(STEP 1) Baseline Conditions'!$B$6="Best",('BMP Suitability 01'!S5*'BMP Removal Rates'!S$38)/100)))</f>
        <v>0</v>
      </c>
      <c r="T5" s="110">
        <f>IF('(STEP 1) Baseline Conditions'!$B$6="Poor",('BMP Suitability 01'!T5*'BMP Removal Rates'!T$41)/100, IF('(STEP 1) Baseline Conditions'!$B$6="Average", ('BMP Suitability 01'!T5*'BMP Removal Rates'!T$42)/100, IF('(STEP 1) Baseline Conditions'!$B$6="Best",('BMP Suitability 01'!T5*'BMP Removal Rates'!T$38)/100)))</f>
        <v>0.79749999999999999</v>
      </c>
      <c r="U5" s="110">
        <f>IF('(STEP 1) Baseline Conditions'!$B$6="Poor",('BMP Suitability 01'!U5*'BMP Removal Rates'!U$41)/100, IF('(STEP 1) Baseline Conditions'!$B$6="Average", ('BMP Suitability 01'!U5*'BMP Removal Rates'!U$42)/100, IF('(STEP 1) Baseline Conditions'!$B$6="Best",('BMP Suitability 01'!U5*'BMP Removal Rates'!U$38)/100)))</f>
        <v>0.52500000000000002</v>
      </c>
      <c r="V5" s="110">
        <f>IF('(STEP 1) Baseline Conditions'!$B$6="Poor",('BMP Suitability 01'!V5*'BMP Removal Rates'!V$41)/100, IF('(STEP 1) Baseline Conditions'!$B$6="Average", ('BMP Suitability 01'!V5*'BMP Removal Rates'!V$42)/100, IF('(STEP 1) Baseline Conditions'!$B$6="Best",('BMP Suitability 01'!V5*'BMP Removal Rates'!V$38)/100)))</f>
        <v>0.72750000000000004</v>
      </c>
      <c r="W5" s="110">
        <f>IF('(STEP 1) Baseline Conditions'!$B$6="Poor",('BMP Suitability 01'!W5*'BMP Removal Rates'!W$41)/100, IF('(STEP 1) Baseline Conditions'!$B$6="Average", ('BMP Suitability 01'!W5*'BMP Removal Rates'!W$42)/100, IF('(STEP 1) Baseline Conditions'!$B$6="Best",('BMP Suitability 01'!W5*'BMP Removal Rates'!W$38)/100)))</f>
        <v>0.755</v>
      </c>
      <c r="X5" s="110">
        <f>IF('(STEP 1) Baseline Conditions'!$B$6="Poor",('BMP Suitability 01'!X5*'BMP Removal Rates'!X$41)/100, IF('(STEP 1) Baseline Conditions'!$B$6="Average", ('BMP Suitability 01'!X5*'BMP Removal Rates'!X$42)/100, IF('(STEP 1) Baseline Conditions'!$B$6="Best",('BMP Suitability 01'!X5*'BMP Removal Rates'!X$38)/100)))</f>
        <v>0</v>
      </c>
      <c r="Y5" s="110">
        <f>IF('(STEP 1) Baseline Conditions'!$B$6="Poor",('BMP Suitability 01'!Y5*'BMP Removal Rates'!Y$41)/100, IF('(STEP 1) Baseline Conditions'!$B$6="Average", ('BMP Suitability 01'!Y5*'BMP Removal Rates'!Y$42)/100, IF('(STEP 1) Baseline Conditions'!$B$6="Best",('BMP Suitability 01'!Y5*'BMP Removal Rates'!Y$38)/100)))</f>
        <v>0</v>
      </c>
      <c r="Z5" s="110">
        <f>IF('(STEP 1) Baseline Conditions'!$B$6="Poor",('BMP Suitability 01'!Z5*'BMP Removal Rates'!Z$41)/100, IF('(STEP 1) Baseline Conditions'!$B$6="Average", ('BMP Suitability 01'!Z5*'BMP Removal Rates'!Z$42)/100, IF('(STEP 1) Baseline Conditions'!$B$6="Best",('BMP Suitability 01'!Z5*'BMP Removal Rates'!Z$38)/100)))</f>
        <v>0</v>
      </c>
      <c r="AA5" s="110">
        <f>IF('(STEP 1) Baseline Conditions'!$B$6="Poor",('BMP Suitability 01'!AA5*'BMP Removal Rates'!AA$41)/100, IF('(STEP 1) Baseline Conditions'!$B$6="Average", ('BMP Suitability 01'!AA5*'BMP Removal Rates'!AA$42)/100, IF('(STEP 1) Baseline Conditions'!$B$6="Best",('BMP Suitability 01'!AA5*'BMP Removal Rates'!AA$38)/100)))</f>
        <v>0</v>
      </c>
      <c r="AB5" s="110">
        <f>IF('(STEP 1) Baseline Conditions'!$B$6="Poor",('BMP Suitability 01'!AB5*'BMP Removal Rates'!AB$41)/100, IF('(STEP 1) Baseline Conditions'!$B$6="Average", ('BMP Suitability 01'!AB5*'BMP Removal Rates'!AB$42)/100, IF('(STEP 1) Baseline Conditions'!$B$6="Best",('BMP Suitability 01'!AB5*'BMP Removal Rates'!AB$38)/100)))</f>
        <v>0</v>
      </c>
      <c r="AC5" s="110">
        <f>IF('(STEP 1) Baseline Conditions'!$B$6="Poor",('BMP Suitability 01'!AC5*'BMP Removal Rates'!AC$41)/100, IF('(STEP 1) Baseline Conditions'!$B$6="Average", ('BMP Suitability 01'!AC5*'BMP Removal Rates'!AC$42)/100, IF('(STEP 1) Baseline Conditions'!$B$6="Best",('BMP Suitability 01'!AC5*'BMP Removal Rates'!AC$38)/100)))</f>
        <v>0</v>
      </c>
    </row>
    <row r="6" spans="1:29" x14ac:dyDescent="0.25">
      <c r="A6" s="3" t="s">
        <v>21</v>
      </c>
      <c r="B6" s="45">
        <f>IF(INDEX('Dosskey Coefficients'!$N$2:$N$20,MATCH('(STEP 1) Baseline Conditions'!$B$14,'Dosskey Coefficients'!$K$2:$K$20,0),0)&lt;0,('BMP Suitability 01'!B6*'BMP Removal Rates'!$B$38)/100, 'BMP Suitability 01'!B6*'BMP Removal Rates'!$B$39/100)</f>
        <v>0</v>
      </c>
      <c r="C6" s="45">
        <f>IF(INDEX('Dosskey Coefficients'!$N$2:$N$20,MATCH('(STEP 1) Baseline Conditions'!$B$14,'Dosskey Coefficients'!$K$2:$K$20,0),0)&lt;0,('BMP Suitability 01'!C6*$C$38)/100, 'BMP Suitability 01'!C6*$C$39/100)</f>
        <v>0</v>
      </c>
      <c r="D6" s="45">
        <f>('BMP Suitability 01'!D6*'BMP Removal Rates'!$D$38)/100</f>
        <v>0.62</v>
      </c>
      <c r="E6" s="45">
        <f>('BMP Suitability 01'!E6*'BMP Removal Rates'!$E$38)/100</f>
        <v>0.38500000000000001</v>
      </c>
      <c r="F6" s="45">
        <f>('BMP Suitability 01'!F6*'BMP Removal Rates'!$F$38)/100</f>
        <v>0.4</v>
      </c>
      <c r="G6" s="45">
        <f>('BMP Suitability 01'!G6*'BMP Removal Rates'!$G$38)/100</f>
        <v>0.75</v>
      </c>
      <c r="H6" s="45">
        <f>('BMP Suitability 01'!H6*'BMP Removal Rates'!$H$38)/100</f>
        <v>0.95</v>
      </c>
      <c r="I6" s="45">
        <f>('BMP Suitability 01'!I6*'BMP Removal Rates'!$I$38)/100</f>
        <v>0.85</v>
      </c>
      <c r="J6" s="45">
        <f>('BMP Suitability 01'!J6*'BMP Removal Rates'!$J$38)/100</f>
        <v>0.9</v>
      </c>
      <c r="K6" s="45">
        <f>('BMP Suitability 01'!K6*'BMP Removal Rates'!$K$38)/100</f>
        <v>0.75</v>
      </c>
      <c r="L6" s="45">
        <f>('BMP Suitability 01'!L6*'BMP Removal Rates'!$L$38)/100</f>
        <v>0</v>
      </c>
      <c r="M6" s="45">
        <f>('BMP Suitability 01'!M6*'BMP Removal Rates'!$M$38)/100</f>
        <v>0</v>
      </c>
      <c r="N6" s="110">
        <f>IF('(STEP 1) Baseline Conditions'!$B$6="Poor",('BMP Suitability 01'!N6*'BMP Removal Rates'!N$41)/100, IF('(STEP 1) Baseline Conditions'!$B$6="Average", ('BMP Suitability 01'!N6*'BMP Removal Rates'!N$42)/100, IF('(STEP 1) Baseline Conditions'!$B$6="Best",('BMP Suitability 01'!N6*'BMP Removal Rates'!N$38)/100)))</f>
        <v>0.82</v>
      </c>
      <c r="O6" s="110">
        <f>IF('(STEP 1) Baseline Conditions'!$B$6="Poor",('BMP Suitability 01'!O6*'BMP Removal Rates'!O$41)/100, IF('(STEP 1) Baseline Conditions'!$B$6="Average", ('BMP Suitability 01'!O6*'BMP Removal Rates'!O$42)/100, IF('(STEP 1) Baseline Conditions'!$B$6="Best",('BMP Suitability 01'!O6*'BMP Removal Rates'!O$38)/100)))</f>
        <v>0.21</v>
      </c>
      <c r="P6" s="110">
        <f>IF('(STEP 1) Baseline Conditions'!$B$6="Poor",('BMP Suitability 01'!P6*'BMP Removal Rates'!P$41)/100, IF('(STEP 1) Baseline Conditions'!$B$6="Average", ('BMP Suitability 01'!P6*'BMP Removal Rates'!P$42)/100, IF('(STEP 1) Baseline Conditions'!$B$6="Best",('BMP Suitability 01'!P6*'BMP Removal Rates'!P$38)/100)))</f>
        <v>0</v>
      </c>
      <c r="Q6" s="110">
        <f>IF('(STEP 1) Baseline Conditions'!$B$6="Poor",('BMP Suitability 01'!Q6*'BMP Removal Rates'!Q$41)/100, IF('(STEP 1) Baseline Conditions'!$B$6="Average", ('BMP Suitability 01'!Q6*'BMP Removal Rates'!Q$42)/100, IF('(STEP 1) Baseline Conditions'!$B$6="Best",('BMP Suitability 01'!Q6*'BMP Removal Rates'!Q$38)/100)))</f>
        <v>0</v>
      </c>
      <c r="R6" s="110">
        <f>IF('(STEP 1) Baseline Conditions'!$B$6="Poor",('BMP Suitability 01'!R6*'BMP Removal Rates'!R$41)/100, IF('(STEP 1) Baseline Conditions'!$B$6="Average", ('BMP Suitability 01'!R6*'BMP Removal Rates'!R$42)/100, IF('(STEP 1) Baseline Conditions'!$B$6="Best",('BMP Suitability 01'!R6*'BMP Removal Rates'!R$38)/100)))</f>
        <v>0</v>
      </c>
      <c r="S6" s="110">
        <f>IF('(STEP 1) Baseline Conditions'!$B$6="Poor",('BMP Suitability 01'!S6*'BMP Removal Rates'!S$41)/100, IF('(STEP 1) Baseline Conditions'!$B$6="Average", ('BMP Suitability 01'!S6*'BMP Removal Rates'!S$42)/100, IF('(STEP 1) Baseline Conditions'!$B$6="Best",('BMP Suitability 01'!S6*'BMP Removal Rates'!S$38)/100)))</f>
        <v>0</v>
      </c>
      <c r="T6" s="110">
        <f>IF('(STEP 1) Baseline Conditions'!$B$6="Poor",('BMP Suitability 01'!T6*'BMP Removal Rates'!T$41)/100, IF('(STEP 1) Baseline Conditions'!$B$6="Average", ('BMP Suitability 01'!T6*'BMP Removal Rates'!T$42)/100, IF('(STEP 1) Baseline Conditions'!$B$6="Best",('BMP Suitability 01'!T6*'BMP Removal Rates'!T$38)/100)))</f>
        <v>0.79749999999999999</v>
      </c>
      <c r="U6" s="110">
        <f>IF('(STEP 1) Baseline Conditions'!$B$6="Poor",('BMP Suitability 01'!U6*'BMP Removal Rates'!U$41)/100, IF('(STEP 1) Baseline Conditions'!$B$6="Average", ('BMP Suitability 01'!U6*'BMP Removal Rates'!U$42)/100, IF('(STEP 1) Baseline Conditions'!$B$6="Best",('BMP Suitability 01'!U6*'BMP Removal Rates'!U$38)/100)))</f>
        <v>0.52500000000000002</v>
      </c>
      <c r="V6" s="110">
        <f>IF('(STEP 1) Baseline Conditions'!$B$6="Poor",('BMP Suitability 01'!V6*'BMP Removal Rates'!V$41)/100, IF('(STEP 1) Baseline Conditions'!$B$6="Average", ('BMP Suitability 01'!V6*'BMP Removal Rates'!V$42)/100, IF('(STEP 1) Baseline Conditions'!$B$6="Best",('BMP Suitability 01'!V6*'BMP Removal Rates'!V$38)/100)))</f>
        <v>0.72750000000000004</v>
      </c>
      <c r="W6" s="110">
        <f>IF('(STEP 1) Baseline Conditions'!$B$6="Poor",('BMP Suitability 01'!W6*'BMP Removal Rates'!W$41)/100, IF('(STEP 1) Baseline Conditions'!$B$6="Average", ('BMP Suitability 01'!W6*'BMP Removal Rates'!W$42)/100, IF('(STEP 1) Baseline Conditions'!$B$6="Best",('BMP Suitability 01'!W6*'BMP Removal Rates'!W$38)/100)))</f>
        <v>0.755</v>
      </c>
      <c r="X6" s="110">
        <f>IF('(STEP 1) Baseline Conditions'!$B$6="Poor",('BMP Suitability 01'!X6*'BMP Removal Rates'!X$41)/100, IF('(STEP 1) Baseline Conditions'!$B$6="Average", ('BMP Suitability 01'!X6*'BMP Removal Rates'!X$42)/100, IF('(STEP 1) Baseline Conditions'!$B$6="Best",('BMP Suitability 01'!X6*'BMP Removal Rates'!X$38)/100)))</f>
        <v>0.85</v>
      </c>
      <c r="Y6" s="110">
        <f>IF('(STEP 1) Baseline Conditions'!$B$6="Poor",('BMP Suitability 01'!Y6*'BMP Removal Rates'!Y$41)/100, IF('(STEP 1) Baseline Conditions'!$B$6="Average", ('BMP Suitability 01'!Y6*'BMP Removal Rates'!Y$42)/100, IF('(STEP 1) Baseline Conditions'!$B$6="Best",('BMP Suitability 01'!Y6*'BMP Removal Rates'!Y$38)/100)))</f>
        <v>0.22</v>
      </c>
      <c r="Z6" s="110">
        <f>IF('(STEP 1) Baseline Conditions'!$B$6="Poor",('BMP Suitability 01'!Z6*'BMP Removal Rates'!Z$41)/100, IF('(STEP 1) Baseline Conditions'!$B$6="Average", ('BMP Suitability 01'!Z6*'BMP Removal Rates'!Z$42)/100, IF('(STEP 1) Baseline Conditions'!$B$6="Best",('BMP Suitability 01'!Z6*'BMP Removal Rates'!Z$38)/100)))</f>
        <v>0.75</v>
      </c>
      <c r="AA6" s="110">
        <f>IF('(STEP 1) Baseline Conditions'!$B$6="Poor",('BMP Suitability 01'!AA6*'BMP Removal Rates'!AA$41)/100, IF('(STEP 1) Baseline Conditions'!$B$6="Average", ('BMP Suitability 01'!AA6*'BMP Removal Rates'!AA$42)/100, IF('(STEP 1) Baseline Conditions'!$B$6="Best",('BMP Suitability 01'!AA6*'BMP Removal Rates'!AA$38)/100)))</f>
        <v>0.71750000000000003</v>
      </c>
      <c r="AB6" s="110">
        <f>IF('(STEP 1) Baseline Conditions'!$B$6="Poor",('BMP Suitability 01'!AB6*'BMP Removal Rates'!AB$41)/100, IF('(STEP 1) Baseline Conditions'!$B$6="Average", ('BMP Suitability 01'!AB6*'BMP Removal Rates'!AB$42)/100, IF('(STEP 1) Baseline Conditions'!$B$6="Best",('BMP Suitability 01'!AB6*'BMP Removal Rates'!AB$38)/100)))</f>
        <v>0.55437499999999995</v>
      </c>
      <c r="AC6" s="110">
        <f>IF('(STEP 1) Baseline Conditions'!$B$6="Poor",('BMP Suitability 01'!AC6*'BMP Removal Rates'!AC$41)/100, IF('(STEP 1) Baseline Conditions'!$B$6="Average", ('BMP Suitability 01'!AC6*'BMP Removal Rates'!AC$42)/100, IF('(STEP 1) Baseline Conditions'!$B$6="Best",('BMP Suitability 01'!AC6*'BMP Removal Rates'!AC$38)/100)))</f>
        <v>0.62</v>
      </c>
    </row>
    <row r="7" spans="1:29" x14ac:dyDescent="0.25">
      <c r="A7" s="3" t="s">
        <v>22</v>
      </c>
      <c r="B7" s="45">
        <f>IF(INDEX('Dosskey Coefficients'!$N$2:$N$20,MATCH('(STEP 1) Baseline Conditions'!$B$14,'Dosskey Coefficients'!$K$2:$K$20,0),0)&lt;0,('BMP Suitability 01'!B7*'BMP Removal Rates'!$B$38)/100, 'BMP Suitability 01'!B7*'BMP Removal Rates'!$B$39/100)</f>
        <v>0.87</v>
      </c>
      <c r="C7" s="45">
        <f>IF(INDEX('Dosskey Coefficients'!$N$2:$N$20,MATCH('(STEP 1) Baseline Conditions'!$B$14,'Dosskey Coefficients'!$K$2:$K$20,0),0)&lt;0,('BMP Suitability 01'!C7*$C$38)/100, 'BMP Suitability 01'!C7*$C$39/100)</f>
        <v>0.64500000000000002</v>
      </c>
      <c r="D7" s="45">
        <f>('BMP Suitability 01'!D7*'BMP Removal Rates'!$D$38)/100</f>
        <v>0.62</v>
      </c>
      <c r="E7" s="45">
        <f>('BMP Suitability 01'!E7*'BMP Removal Rates'!$E$38)/100</f>
        <v>0.38500000000000001</v>
      </c>
      <c r="F7" s="45">
        <f>('BMP Suitability 01'!F7*'BMP Removal Rates'!$F$38)/100</f>
        <v>0.4</v>
      </c>
      <c r="G7" s="45">
        <f>('BMP Suitability 01'!G7*'BMP Removal Rates'!$G$38)/100</f>
        <v>0.75</v>
      </c>
      <c r="H7" s="45">
        <f>('BMP Suitability 01'!H7*'BMP Removal Rates'!$H$38)/100</f>
        <v>0.95</v>
      </c>
      <c r="I7" s="45">
        <f>('BMP Suitability 01'!I7*'BMP Removal Rates'!$I$38)/100</f>
        <v>0.85</v>
      </c>
      <c r="J7" s="45">
        <f>('BMP Suitability 01'!J7*'BMP Removal Rates'!$J$38)/100</f>
        <v>0.9</v>
      </c>
      <c r="K7" s="45">
        <f>('BMP Suitability 01'!K7*'BMP Removal Rates'!$K$38)/100</f>
        <v>0.75</v>
      </c>
      <c r="L7" s="45">
        <f>('BMP Suitability 01'!L7*'BMP Removal Rates'!$L$38)/100</f>
        <v>0.69</v>
      </c>
      <c r="M7" s="45">
        <f>('BMP Suitability 01'!M7*'BMP Removal Rates'!$M$38)/100</f>
        <v>0.77500000000000002</v>
      </c>
      <c r="N7" s="110">
        <f>IF('(STEP 1) Baseline Conditions'!$B$6="Poor",('BMP Suitability 01'!N7*'BMP Removal Rates'!N$41)/100, IF('(STEP 1) Baseline Conditions'!$B$6="Average", ('BMP Suitability 01'!N7*'BMP Removal Rates'!N$42)/100, IF('(STEP 1) Baseline Conditions'!$B$6="Best",('BMP Suitability 01'!N7*'BMP Removal Rates'!N$38)/100)))</f>
        <v>0.82</v>
      </c>
      <c r="O7" s="110">
        <f>IF('(STEP 1) Baseline Conditions'!$B$6="Poor",('BMP Suitability 01'!O7*'BMP Removal Rates'!O$41)/100, IF('(STEP 1) Baseline Conditions'!$B$6="Average", ('BMP Suitability 01'!O7*'BMP Removal Rates'!O$42)/100, IF('(STEP 1) Baseline Conditions'!$B$6="Best",('BMP Suitability 01'!O7*'BMP Removal Rates'!O$38)/100)))</f>
        <v>0.21</v>
      </c>
      <c r="P7" s="110">
        <f>IF('(STEP 1) Baseline Conditions'!$B$6="Poor",('BMP Suitability 01'!P7*'BMP Removal Rates'!P$41)/100, IF('(STEP 1) Baseline Conditions'!$B$6="Average", ('BMP Suitability 01'!P7*'BMP Removal Rates'!P$42)/100, IF('(STEP 1) Baseline Conditions'!$B$6="Best",('BMP Suitability 01'!P7*'BMP Removal Rates'!P$38)/100)))</f>
        <v>0.83750000000000002</v>
      </c>
      <c r="Q7" s="110">
        <f>IF('(STEP 1) Baseline Conditions'!$B$6="Poor",('BMP Suitability 01'!Q7*'BMP Removal Rates'!Q$41)/100, IF('(STEP 1) Baseline Conditions'!$B$6="Average", ('BMP Suitability 01'!Q7*'BMP Removal Rates'!Q$42)/100, IF('(STEP 1) Baseline Conditions'!$B$6="Best",('BMP Suitability 01'!Q7*'BMP Removal Rates'!Q$38)/100)))</f>
        <v>0.73750000000000004</v>
      </c>
      <c r="R7" s="110">
        <f>IF('(STEP 1) Baseline Conditions'!$B$6="Poor",('BMP Suitability 01'!R7*'BMP Removal Rates'!R$41)/100, IF('(STEP 1) Baseline Conditions'!$B$6="Average", ('BMP Suitability 01'!R7*'BMP Removal Rates'!R$42)/100, IF('(STEP 1) Baseline Conditions'!$B$6="Best",('BMP Suitability 01'!R7*'BMP Removal Rates'!R$38)/100)))</f>
        <v>0</v>
      </c>
      <c r="S7" s="110">
        <f>IF('(STEP 1) Baseline Conditions'!$B$6="Poor",('BMP Suitability 01'!S7*'BMP Removal Rates'!S$41)/100, IF('(STEP 1) Baseline Conditions'!$B$6="Average", ('BMP Suitability 01'!S7*'BMP Removal Rates'!S$42)/100, IF('(STEP 1) Baseline Conditions'!$B$6="Best",('BMP Suitability 01'!S7*'BMP Removal Rates'!S$38)/100)))</f>
        <v>0</v>
      </c>
      <c r="T7" s="110">
        <f>IF('(STEP 1) Baseline Conditions'!$B$6="Poor",('BMP Suitability 01'!T7*'BMP Removal Rates'!T$41)/100, IF('(STEP 1) Baseline Conditions'!$B$6="Average", ('BMP Suitability 01'!T7*'BMP Removal Rates'!T$42)/100, IF('(STEP 1) Baseline Conditions'!$B$6="Best",('BMP Suitability 01'!T7*'BMP Removal Rates'!T$38)/100)))</f>
        <v>0.79749999999999999</v>
      </c>
      <c r="U7" s="110">
        <f>IF('(STEP 1) Baseline Conditions'!$B$6="Poor",('BMP Suitability 01'!U7*'BMP Removal Rates'!U$41)/100, IF('(STEP 1) Baseline Conditions'!$B$6="Average", ('BMP Suitability 01'!U7*'BMP Removal Rates'!U$42)/100, IF('(STEP 1) Baseline Conditions'!$B$6="Best",('BMP Suitability 01'!U7*'BMP Removal Rates'!U$38)/100)))</f>
        <v>0.52500000000000002</v>
      </c>
      <c r="V7" s="110">
        <f>IF('(STEP 1) Baseline Conditions'!$B$6="Poor",('BMP Suitability 01'!V7*'BMP Removal Rates'!V$41)/100, IF('(STEP 1) Baseline Conditions'!$B$6="Average", ('BMP Suitability 01'!V7*'BMP Removal Rates'!V$42)/100, IF('(STEP 1) Baseline Conditions'!$B$6="Best",('BMP Suitability 01'!V7*'BMP Removal Rates'!V$38)/100)))</f>
        <v>0.72750000000000004</v>
      </c>
      <c r="W7" s="110">
        <f>IF('(STEP 1) Baseline Conditions'!$B$6="Poor",('BMP Suitability 01'!W7*'BMP Removal Rates'!W$41)/100, IF('(STEP 1) Baseline Conditions'!$B$6="Average", ('BMP Suitability 01'!W7*'BMP Removal Rates'!W$42)/100, IF('(STEP 1) Baseline Conditions'!$B$6="Best",('BMP Suitability 01'!W7*'BMP Removal Rates'!W$38)/100)))</f>
        <v>0.755</v>
      </c>
      <c r="X7" s="110">
        <f>IF('(STEP 1) Baseline Conditions'!$B$6="Poor",('BMP Suitability 01'!X7*'BMP Removal Rates'!X$41)/100, IF('(STEP 1) Baseline Conditions'!$B$6="Average", ('BMP Suitability 01'!X7*'BMP Removal Rates'!X$42)/100, IF('(STEP 1) Baseline Conditions'!$B$6="Best",('BMP Suitability 01'!X7*'BMP Removal Rates'!X$38)/100)))</f>
        <v>0</v>
      </c>
      <c r="Y7" s="110">
        <f>IF('(STEP 1) Baseline Conditions'!$B$6="Poor",('BMP Suitability 01'!Y7*'BMP Removal Rates'!Y$41)/100, IF('(STEP 1) Baseline Conditions'!$B$6="Average", ('BMP Suitability 01'!Y7*'BMP Removal Rates'!Y$42)/100, IF('(STEP 1) Baseline Conditions'!$B$6="Best",('BMP Suitability 01'!Y7*'BMP Removal Rates'!Y$38)/100)))</f>
        <v>0</v>
      </c>
      <c r="Z7" s="110">
        <f>IF('(STEP 1) Baseline Conditions'!$B$6="Poor",('BMP Suitability 01'!Z7*'BMP Removal Rates'!Z$41)/100, IF('(STEP 1) Baseline Conditions'!$B$6="Average", ('BMP Suitability 01'!Z7*'BMP Removal Rates'!Z$42)/100, IF('(STEP 1) Baseline Conditions'!$B$6="Best",('BMP Suitability 01'!Z7*'BMP Removal Rates'!Z$38)/100)))</f>
        <v>0</v>
      </c>
      <c r="AA7" s="110">
        <f>IF('(STEP 1) Baseline Conditions'!$B$6="Poor",('BMP Suitability 01'!AA7*'BMP Removal Rates'!AA$41)/100, IF('(STEP 1) Baseline Conditions'!$B$6="Average", ('BMP Suitability 01'!AA7*'BMP Removal Rates'!AA$42)/100, IF('(STEP 1) Baseline Conditions'!$B$6="Best",('BMP Suitability 01'!AA7*'BMP Removal Rates'!AA$38)/100)))</f>
        <v>0</v>
      </c>
      <c r="AB7" s="110">
        <f>IF('(STEP 1) Baseline Conditions'!$B$6="Poor",('BMP Suitability 01'!AB7*'BMP Removal Rates'!AB$41)/100, IF('(STEP 1) Baseline Conditions'!$B$6="Average", ('BMP Suitability 01'!AB7*'BMP Removal Rates'!AB$42)/100, IF('(STEP 1) Baseline Conditions'!$B$6="Best",('BMP Suitability 01'!AB7*'BMP Removal Rates'!AB$38)/100)))</f>
        <v>0</v>
      </c>
      <c r="AC7" s="110">
        <f>IF('(STEP 1) Baseline Conditions'!$B$6="Poor",('BMP Suitability 01'!AC7*'BMP Removal Rates'!AC$41)/100, IF('(STEP 1) Baseline Conditions'!$B$6="Average", ('BMP Suitability 01'!AC7*'BMP Removal Rates'!AC$42)/100, IF('(STEP 1) Baseline Conditions'!$B$6="Best",('BMP Suitability 01'!AC7*'BMP Removal Rates'!AC$38)/100)))</f>
        <v>0</v>
      </c>
    </row>
    <row r="8" spans="1:29" x14ac:dyDescent="0.25">
      <c r="A8" s="3" t="s">
        <v>23</v>
      </c>
      <c r="B8" s="45">
        <f>IF(INDEX('Dosskey Coefficients'!$N$2:$N$20,MATCH('(STEP 1) Baseline Conditions'!$B$14,'Dosskey Coefficients'!$K$2:$K$20,0),0)&lt;0,('BMP Suitability 01'!B8*'BMP Removal Rates'!$B$38)/100, 'BMP Suitability 01'!B8*'BMP Removal Rates'!$B$39/100)</f>
        <v>0</v>
      </c>
      <c r="C8" s="45">
        <f>IF(INDEX('Dosskey Coefficients'!$N$2:$N$20,MATCH('(STEP 1) Baseline Conditions'!$B$14,'Dosskey Coefficients'!$K$2:$K$20,0),0)&lt;0,('BMP Suitability 01'!C8*$C$38)/100, 'BMP Suitability 01'!C8*$C$39/100)</f>
        <v>0</v>
      </c>
      <c r="D8" s="45">
        <f>('BMP Suitability 01'!D8*'BMP Removal Rates'!$D$38)/100</f>
        <v>0.62</v>
      </c>
      <c r="E8" s="45">
        <f>('BMP Suitability 01'!E8*'BMP Removal Rates'!$E$38)/100</f>
        <v>0.38500000000000001</v>
      </c>
      <c r="F8" s="45">
        <f>('BMP Suitability 01'!F8*'BMP Removal Rates'!$F$38)/100</f>
        <v>0.4</v>
      </c>
      <c r="G8" s="45">
        <f>('BMP Suitability 01'!G8*'BMP Removal Rates'!$G$38)/100</f>
        <v>0.75</v>
      </c>
      <c r="H8" s="45">
        <f>('BMP Suitability 01'!H8*'BMP Removal Rates'!$H$38)/100</f>
        <v>0.95</v>
      </c>
      <c r="I8" s="45">
        <f>('BMP Suitability 01'!I8*'BMP Removal Rates'!$I$38)/100</f>
        <v>0.85</v>
      </c>
      <c r="J8" s="45">
        <f>('BMP Suitability 01'!J8*'BMP Removal Rates'!$J$38)/100</f>
        <v>0.9</v>
      </c>
      <c r="K8" s="45">
        <f>('BMP Suitability 01'!K8*'BMP Removal Rates'!$K$38)/100</f>
        <v>0.75</v>
      </c>
      <c r="L8" s="45">
        <f>('BMP Suitability 01'!L8*'BMP Removal Rates'!$L$38)/100</f>
        <v>0</v>
      </c>
      <c r="M8" s="45">
        <f>('BMP Suitability 01'!M8*'BMP Removal Rates'!$M$38)/100</f>
        <v>0</v>
      </c>
      <c r="N8" s="110">
        <f>IF('(STEP 1) Baseline Conditions'!$B$6="Poor",('BMP Suitability 01'!N8*'BMP Removal Rates'!N$41)/100, IF('(STEP 1) Baseline Conditions'!$B$6="Average", ('BMP Suitability 01'!N8*'BMP Removal Rates'!N$42)/100, IF('(STEP 1) Baseline Conditions'!$B$6="Best",('BMP Suitability 01'!N8*'BMP Removal Rates'!N$38)/100)))</f>
        <v>0.82</v>
      </c>
      <c r="O8" s="110">
        <f>IF('(STEP 1) Baseline Conditions'!$B$6="Poor",('BMP Suitability 01'!O8*'BMP Removal Rates'!O$41)/100, IF('(STEP 1) Baseline Conditions'!$B$6="Average", ('BMP Suitability 01'!O8*'BMP Removal Rates'!O$42)/100, IF('(STEP 1) Baseline Conditions'!$B$6="Best",('BMP Suitability 01'!O8*'BMP Removal Rates'!O$38)/100)))</f>
        <v>0.21</v>
      </c>
      <c r="P8" s="110">
        <f>IF('(STEP 1) Baseline Conditions'!$B$6="Poor",('BMP Suitability 01'!P8*'BMP Removal Rates'!P$41)/100, IF('(STEP 1) Baseline Conditions'!$B$6="Average", ('BMP Suitability 01'!P8*'BMP Removal Rates'!P$42)/100, IF('(STEP 1) Baseline Conditions'!$B$6="Best",('BMP Suitability 01'!P8*'BMP Removal Rates'!P$38)/100)))</f>
        <v>0</v>
      </c>
      <c r="Q8" s="110">
        <f>IF('(STEP 1) Baseline Conditions'!$B$6="Poor",('BMP Suitability 01'!Q8*'BMP Removal Rates'!Q$41)/100, IF('(STEP 1) Baseline Conditions'!$B$6="Average", ('BMP Suitability 01'!Q8*'BMP Removal Rates'!Q$42)/100, IF('(STEP 1) Baseline Conditions'!$B$6="Best",('BMP Suitability 01'!Q8*'BMP Removal Rates'!Q$38)/100)))</f>
        <v>0</v>
      </c>
      <c r="R8" s="110">
        <f>IF('(STEP 1) Baseline Conditions'!$B$6="Poor",('BMP Suitability 01'!R8*'BMP Removal Rates'!R$41)/100, IF('(STEP 1) Baseline Conditions'!$B$6="Average", ('BMP Suitability 01'!R8*'BMP Removal Rates'!R$42)/100, IF('(STEP 1) Baseline Conditions'!$B$6="Best",('BMP Suitability 01'!R8*'BMP Removal Rates'!R$38)/100)))</f>
        <v>0</v>
      </c>
      <c r="S8" s="110">
        <f>IF('(STEP 1) Baseline Conditions'!$B$6="Poor",('BMP Suitability 01'!S8*'BMP Removal Rates'!S$41)/100, IF('(STEP 1) Baseline Conditions'!$B$6="Average", ('BMP Suitability 01'!S8*'BMP Removal Rates'!S$42)/100, IF('(STEP 1) Baseline Conditions'!$B$6="Best",('BMP Suitability 01'!S8*'BMP Removal Rates'!S$38)/100)))</f>
        <v>0</v>
      </c>
      <c r="T8" s="110">
        <f>IF('(STEP 1) Baseline Conditions'!$B$6="Poor",('BMP Suitability 01'!T8*'BMP Removal Rates'!T$41)/100, IF('(STEP 1) Baseline Conditions'!$B$6="Average", ('BMP Suitability 01'!T8*'BMP Removal Rates'!T$42)/100, IF('(STEP 1) Baseline Conditions'!$B$6="Best",('BMP Suitability 01'!T8*'BMP Removal Rates'!T$38)/100)))</f>
        <v>0.79749999999999999</v>
      </c>
      <c r="U8" s="110">
        <f>IF('(STEP 1) Baseline Conditions'!$B$6="Poor",('BMP Suitability 01'!U8*'BMP Removal Rates'!U$41)/100, IF('(STEP 1) Baseline Conditions'!$B$6="Average", ('BMP Suitability 01'!U8*'BMP Removal Rates'!U$42)/100, IF('(STEP 1) Baseline Conditions'!$B$6="Best",('BMP Suitability 01'!U8*'BMP Removal Rates'!U$38)/100)))</f>
        <v>0.52500000000000002</v>
      </c>
      <c r="V8" s="110">
        <f>IF('(STEP 1) Baseline Conditions'!$B$6="Poor",('BMP Suitability 01'!V8*'BMP Removal Rates'!V$41)/100, IF('(STEP 1) Baseline Conditions'!$B$6="Average", ('BMP Suitability 01'!V8*'BMP Removal Rates'!V$42)/100, IF('(STEP 1) Baseline Conditions'!$B$6="Best",('BMP Suitability 01'!V8*'BMP Removal Rates'!V$38)/100)))</f>
        <v>0.72750000000000004</v>
      </c>
      <c r="W8" s="110">
        <f>IF('(STEP 1) Baseline Conditions'!$B$6="Poor",('BMP Suitability 01'!W8*'BMP Removal Rates'!W$41)/100, IF('(STEP 1) Baseline Conditions'!$B$6="Average", ('BMP Suitability 01'!W8*'BMP Removal Rates'!W$42)/100, IF('(STEP 1) Baseline Conditions'!$B$6="Best",('BMP Suitability 01'!W8*'BMP Removal Rates'!W$38)/100)))</f>
        <v>0.755</v>
      </c>
      <c r="X8" s="110">
        <f>IF('(STEP 1) Baseline Conditions'!$B$6="Poor",('BMP Suitability 01'!X8*'BMP Removal Rates'!X$41)/100, IF('(STEP 1) Baseline Conditions'!$B$6="Average", ('BMP Suitability 01'!X8*'BMP Removal Rates'!X$42)/100, IF('(STEP 1) Baseline Conditions'!$B$6="Best",('BMP Suitability 01'!X8*'BMP Removal Rates'!X$38)/100)))</f>
        <v>0</v>
      </c>
      <c r="Y8" s="110">
        <f>IF('(STEP 1) Baseline Conditions'!$B$6="Poor",('BMP Suitability 01'!Y8*'BMP Removal Rates'!Y$41)/100, IF('(STEP 1) Baseline Conditions'!$B$6="Average", ('BMP Suitability 01'!Y8*'BMP Removal Rates'!Y$42)/100, IF('(STEP 1) Baseline Conditions'!$B$6="Best",('BMP Suitability 01'!Y8*'BMP Removal Rates'!Y$38)/100)))</f>
        <v>0</v>
      </c>
      <c r="Z8" s="110">
        <f>IF('(STEP 1) Baseline Conditions'!$B$6="Poor",('BMP Suitability 01'!Z8*'BMP Removal Rates'!Z$41)/100, IF('(STEP 1) Baseline Conditions'!$B$6="Average", ('BMP Suitability 01'!Z8*'BMP Removal Rates'!Z$42)/100, IF('(STEP 1) Baseline Conditions'!$B$6="Best",('BMP Suitability 01'!Z8*'BMP Removal Rates'!Z$38)/100)))</f>
        <v>0.75</v>
      </c>
      <c r="AA8" s="110">
        <f>IF('(STEP 1) Baseline Conditions'!$B$6="Poor",('BMP Suitability 01'!AA8*'BMP Removal Rates'!AA$41)/100, IF('(STEP 1) Baseline Conditions'!$B$6="Average", ('BMP Suitability 01'!AA8*'BMP Removal Rates'!AA$42)/100, IF('(STEP 1) Baseline Conditions'!$B$6="Best",('BMP Suitability 01'!AA8*'BMP Removal Rates'!AA$38)/100)))</f>
        <v>0.71750000000000003</v>
      </c>
      <c r="AB8" s="110">
        <f>IF('(STEP 1) Baseline Conditions'!$B$6="Poor",('BMP Suitability 01'!AB8*'BMP Removal Rates'!AB$41)/100, IF('(STEP 1) Baseline Conditions'!$B$6="Average", ('BMP Suitability 01'!AB8*'BMP Removal Rates'!AB$42)/100, IF('(STEP 1) Baseline Conditions'!$B$6="Best",('BMP Suitability 01'!AB8*'BMP Removal Rates'!AB$38)/100)))</f>
        <v>0</v>
      </c>
      <c r="AC8" s="110">
        <f>IF('(STEP 1) Baseline Conditions'!$B$6="Poor",('BMP Suitability 01'!AC8*'BMP Removal Rates'!AC$41)/100, IF('(STEP 1) Baseline Conditions'!$B$6="Average", ('BMP Suitability 01'!AC8*'BMP Removal Rates'!AC$42)/100, IF('(STEP 1) Baseline Conditions'!$B$6="Best",('BMP Suitability 01'!AC8*'BMP Removal Rates'!AC$38)/100)))</f>
        <v>0</v>
      </c>
    </row>
    <row r="9" spans="1:29" x14ac:dyDescent="0.25">
      <c r="A9" s="3" t="s">
        <v>88</v>
      </c>
      <c r="B9" s="45">
        <f>IF(INDEX('Dosskey Coefficients'!$N$2:$N$20,MATCH('(STEP 1) Baseline Conditions'!$B$14,'Dosskey Coefficients'!$K$2:$K$20,0),0)&lt;0,('BMP Suitability 01'!B9*'BMP Removal Rates'!$B$38)/100, 'BMP Suitability 01'!B9*'BMP Removal Rates'!$B$39/100)</f>
        <v>0</v>
      </c>
      <c r="C9" s="45">
        <f>IF(INDEX('Dosskey Coefficients'!$N$2:$N$20,MATCH('(STEP 1) Baseline Conditions'!$B$14,'Dosskey Coefficients'!$K$2:$K$20,0),0)&lt;0,('BMP Suitability 01'!C9*$C$38)/100, 'BMP Suitability 01'!C9*$C$39/100)</f>
        <v>0</v>
      </c>
      <c r="D9" s="45">
        <f>IF('(STEP 1) Baseline Conditions'!$B$6="Poor",('BMP Suitability 01'!D9*'BMP Removal Rates'!D$41)/100, IF('(STEP 1) Baseline Conditions'!$B$6="Average", ('BMP Suitability 01'!D9*'BMP Removal Rates'!D$42)/100, IF('(STEP 1) Baseline Conditions'!$B$6="Best",('BMP Suitability 01'!D9*'BMP Removal Rates'!D$38)/100)))</f>
        <v>0.47</v>
      </c>
      <c r="E9" s="45">
        <f>('BMP Suitability 01'!E9*'BMP Removal Rates'!$E$38)/100</f>
        <v>0.38500000000000001</v>
      </c>
      <c r="F9" s="45">
        <f>('BMP Suitability 01'!F9*'BMP Removal Rates'!$F$38)/100</f>
        <v>0.4</v>
      </c>
      <c r="G9" s="45">
        <f>('BMP Suitability 01'!G9*'BMP Removal Rates'!$G$38)/100</f>
        <v>0.75</v>
      </c>
      <c r="H9" s="45">
        <f>('BMP Suitability 01'!H9*'BMP Removal Rates'!$H$38)/100</f>
        <v>0.95</v>
      </c>
      <c r="I9" s="45">
        <f>('BMP Suitability 01'!I9*'BMP Removal Rates'!$I$38)/100</f>
        <v>0.85</v>
      </c>
      <c r="J9" s="45">
        <f>('BMP Suitability 01'!J9*'BMP Removal Rates'!$J$38)/100</f>
        <v>0.9</v>
      </c>
      <c r="K9" s="45">
        <f>('BMP Suitability 01'!K9*'BMP Removal Rates'!$K$38)/100</f>
        <v>0.75</v>
      </c>
      <c r="L9" s="45">
        <f>('BMP Suitability 01'!L9*'BMP Removal Rates'!$L$38)/100</f>
        <v>0</v>
      </c>
      <c r="M9" s="45">
        <f>('BMP Suitability 01'!M9*'BMP Removal Rates'!$M$38)/100</f>
        <v>0</v>
      </c>
      <c r="N9" s="110">
        <f>IF('(STEP 1) Baseline Conditions'!$B$6="Poor",('BMP Suitability 01'!N9*'BMP Removal Rates'!N$41)/100, IF('(STEP 1) Baseline Conditions'!$B$6="Average", ('BMP Suitability 01'!N9*'BMP Removal Rates'!N$42)/100, IF('(STEP 1) Baseline Conditions'!$B$6="Best",('BMP Suitability 01'!N9*'BMP Removal Rates'!N$38)/100)))</f>
        <v>0.82</v>
      </c>
      <c r="O9" s="110">
        <f>IF('(STEP 1) Baseline Conditions'!$B$6="Poor",('BMP Suitability 01'!O9*'BMP Removal Rates'!O$41)/100, IF('(STEP 1) Baseline Conditions'!$B$6="Average", ('BMP Suitability 01'!O9*'BMP Removal Rates'!O$42)/100, IF('(STEP 1) Baseline Conditions'!$B$6="Best",('BMP Suitability 01'!O9*'BMP Removal Rates'!O$38)/100)))</f>
        <v>0.21</v>
      </c>
      <c r="P9" s="110">
        <f>IF('(STEP 1) Baseline Conditions'!$B$6="Poor",('BMP Suitability 01'!P9*'BMP Removal Rates'!P$41)/100, IF('(STEP 1) Baseline Conditions'!$B$6="Average", ('BMP Suitability 01'!P9*'BMP Removal Rates'!P$42)/100, IF('(STEP 1) Baseline Conditions'!$B$6="Best",('BMP Suitability 01'!P9*'BMP Removal Rates'!P$38)/100)))</f>
        <v>0</v>
      </c>
      <c r="Q9" s="110">
        <f>IF('(STEP 1) Baseline Conditions'!$B$6="Poor",('BMP Suitability 01'!Q9*'BMP Removal Rates'!Q$41)/100, IF('(STEP 1) Baseline Conditions'!$B$6="Average", ('BMP Suitability 01'!Q9*'BMP Removal Rates'!Q$42)/100, IF('(STEP 1) Baseline Conditions'!$B$6="Best",('BMP Suitability 01'!Q9*'BMP Removal Rates'!Q$38)/100)))</f>
        <v>0</v>
      </c>
      <c r="R9" s="110">
        <f>IF('(STEP 1) Baseline Conditions'!$B$6="Poor",('BMP Suitability 01'!R9*'BMP Removal Rates'!R$41)/100, IF('(STEP 1) Baseline Conditions'!$B$6="Average", ('BMP Suitability 01'!R9*'BMP Removal Rates'!R$42)/100, IF('(STEP 1) Baseline Conditions'!$B$6="Best",('BMP Suitability 01'!R9*'BMP Removal Rates'!R$38)/100)))</f>
        <v>0</v>
      </c>
      <c r="S9" s="110">
        <f>IF('(STEP 1) Baseline Conditions'!$B$6="Poor",('BMP Suitability 01'!S9*'BMP Removal Rates'!S$41)/100, IF('(STEP 1) Baseline Conditions'!$B$6="Average", ('BMP Suitability 01'!S9*'BMP Removal Rates'!S$42)/100, IF('(STEP 1) Baseline Conditions'!$B$6="Best",('BMP Suitability 01'!S9*'BMP Removal Rates'!S$38)/100)))</f>
        <v>0</v>
      </c>
      <c r="T9" s="110">
        <f>IF('(STEP 1) Baseline Conditions'!$B$6="Poor",('BMP Suitability 01'!T9*'BMP Removal Rates'!T$41)/100, IF('(STEP 1) Baseline Conditions'!$B$6="Average", ('BMP Suitability 01'!T9*'BMP Removal Rates'!T$42)/100, IF('(STEP 1) Baseline Conditions'!$B$6="Best",('BMP Suitability 01'!T9*'BMP Removal Rates'!T$38)/100)))</f>
        <v>0.79749999999999999</v>
      </c>
      <c r="U9" s="110">
        <f>IF('(STEP 1) Baseline Conditions'!$B$6="Poor",('BMP Suitability 01'!U9*'BMP Removal Rates'!U$41)/100, IF('(STEP 1) Baseline Conditions'!$B$6="Average", ('BMP Suitability 01'!U9*'BMP Removal Rates'!U$42)/100, IF('(STEP 1) Baseline Conditions'!$B$6="Best",('BMP Suitability 01'!U9*'BMP Removal Rates'!U$38)/100)))</f>
        <v>0.52500000000000002</v>
      </c>
      <c r="V9" s="110">
        <f>IF('(STEP 1) Baseline Conditions'!$B$6="Poor",('BMP Suitability 01'!V9*'BMP Removal Rates'!V$41)/100, IF('(STEP 1) Baseline Conditions'!$B$6="Average", ('BMP Suitability 01'!V9*'BMP Removal Rates'!V$42)/100, IF('(STEP 1) Baseline Conditions'!$B$6="Best",('BMP Suitability 01'!V9*'BMP Removal Rates'!V$38)/100)))</f>
        <v>0.72750000000000004</v>
      </c>
      <c r="W9" s="110">
        <f>IF('(STEP 1) Baseline Conditions'!$B$6="Poor",('BMP Suitability 01'!W9*'BMP Removal Rates'!W$41)/100, IF('(STEP 1) Baseline Conditions'!$B$6="Average", ('BMP Suitability 01'!W9*'BMP Removal Rates'!W$42)/100, IF('(STEP 1) Baseline Conditions'!$B$6="Best",('BMP Suitability 01'!W9*'BMP Removal Rates'!W$38)/100)))</f>
        <v>0.755</v>
      </c>
      <c r="X9" s="110">
        <f>IF('(STEP 1) Baseline Conditions'!$B$6="Poor",('BMP Suitability 01'!X9*'BMP Removal Rates'!X$41)/100, IF('(STEP 1) Baseline Conditions'!$B$6="Average", ('BMP Suitability 01'!X9*'BMP Removal Rates'!X$42)/100, IF('(STEP 1) Baseline Conditions'!$B$6="Best",('BMP Suitability 01'!X9*'BMP Removal Rates'!X$38)/100)))</f>
        <v>0.85</v>
      </c>
      <c r="Y9" s="110">
        <f>IF('(STEP 1) Baseline Conditions'!$B$6="Poor",('BMP Suitability 01'!Y9*'BMP Removal Rates'!Y$41)/100, IF('(STEP 1) Baseline Conditions'!$B$6="Average", ('BMP Suitability 01'!Y9*'BMP Removal Rates'!Y$42)/100, IF('(STEP 1) Baseline Conditions'!$B$6="Best",('BMP Suitability 01'!Y9*'BMP Removal Rates'!Y$38)/100)))</f>
        <v>0.22</v>
      </c>
      <c r="Z9" s="110">
        <f>IF('(STEP 1) Baseline Conditions'!$B$6="Poor",('BMP Suitability 01'!Z9*'BMP Removal Rates'!Z$41)/100, IF('(STEP 1) Baseline Conditions'!$B$6="Average", ('BMP Suitability 01'!Z9*'BMP Removal Rates'!Z$42)/100, IF('(STEP 1) Baseline Conditions'!$B$6="Best",('BMP Suitability 01'!Z9*'BMP Removal Rates'!Z$38)/100)))</f>
        <v>0.75</v>
      </c>
      <c r="AA9" s="110">
        <f>IF('(STEP 1) Baseline Conditions'!$B$6="Poor",('BMP Suitability 01'!AA9*'BMP Removal Rates'!AA$41)/100, IF('(STEP 1) Baseline Conditions'!$B$6="Average", ('BMP Suitability 01'!AA9*'BMP Removal Rates'!AA$42)/100, IF('(STEP 1) Baseline Conditions'!$B$6="Best",('BMP Suitability 01'!AA9*'BMP Removal Rates'!AA$38)/100)))</f>
        <v>0.71750000000000003</v>
      </c>
      <c r="AB9" s="110">
        <f>IF('(STEP 1) Baseline Conditions'!$B$6="Poor",('BMP Suitability 01'!AB9*'BMP Removal Rates'!AB$41)/100, IF('(STEP 1) Baseline Conditions'!$B$6="Average", ('BMP Suitability 01'!AB9*'BMP Removal Rates'!AB$42)/100, IF('(STEP 1) Baseline Conditions'!$B$6="Best",('BMP Suitability 01'!AB9*'BMP Removal Rates'!AB$38)/100)))</f>
        <v>0</v>
      </c>
      <c r="AC9" s="110">
        <f>IF('(STEP 1) Baseline Conditions'!$B$6="Poor",('BMP Suitability 01'!AC9*'BMP Removal Rates'!AC$41)/100, IF('(STEP 1) Baseline Conditions'!$B$6="Average", ('BMP Suitability 01'!AC9*'BMP Removal Rates'!AC$42)/100, IF('(STEP 1) Baseline Conditions'!$B$6="Best",('BMP Suitability 01'!AC9*'BMP Removal Rates'!AC$38)/100)))</f>
        <v>0</v>
      </c>
    </row>
    <row r="10" spans="1:29" x14ac:dyDescent="0.25">
      <c r="A10" s="3" t="s">
        <v>89</v>
      </c>
      <c r="B10" s="45">
        <f>IF(INDEX('Dosskey Coefficients'!$N$2:$N$20,MATCH('(STEP 1) Baseline Conditions'!$B$14,'Dosskey Coefficients'!$K$2:$K$20,0),0)&lt;0,('BMP Suitability 01'!B10*'BMP Removal Rates'!$B$38)/100, 'BMP Suitability 01'!B10*'BMP Removal Rates'!$B$39/100)</f>
        <v>0</v>
      </c>
      <c r="C10" s="45">
        <f>IF(INDEX('Dosskey Coefficients'!$N$2:$N$20,MATCH('(STEP 1) Baseline Conditions'!$B$14,'Dosskey Coefficients'!$K$2:$K$20,0),0)&lt;0,('BMP Suitability 01'!C10*$C$38)/100, 'BMP Suitability 01'!C10*$C$39/100)</f>
        <v>0</v>
      </c>
      <c r="D10" s="45">
        <f>('BMP Suitability 01'!D10*'BMP Removal Rates'!$D$38)/100</f>
        <v>0.62</v>
      </c>
      <c r="E10" s="45">
        <f>('BMP Suitability 01'!E10*'BMP Removal Rates'!$E$38)/100</f>
        <v>0.38500000000000001</v>
      </c>
      <c r="F10" s="45">
        <f>('BMP Suitability 01'!F10*'BMP Removal Rates'!$F$38)/100</f>
        <v>0.4</v>
      </c>
      <c r="G10" s="45">
        <f>('BMP Suitability 01'!G10*'BMP Removal Rates'!$G$38)/100</f>
        <v>0.75</v>
      </c>
      <c r="H10" s="45">
        <f>('BMP Suitability 01'!H10*'BMP Removal Rates'!$H$38)/100</f>
        <v>0</v>
      </c>
      <c r="I10" s="45">
        <f>('BMP Suitability 01'!I10*'BMP Removal Rates'!$I$38)/100</f>
        <v>0</v>
      </c>
      <c r="J10" s="45">
        <f>('BMP Suitability 01'!J10*'BMP Removal Rates'!$J$38)/100</f>
        <v>0.9</v>
      </c>
      <c r="K10" s="45">
        <f>('BMP Suitability 01'!K10*'BMP Removal Rates'!$K$38)/100</f>
        <v>0.75</v>
      </c>
      <c r="L10" s="45">
        <f>('BMP Suitability 01'!L10*'BMP Removal Rates'!$L$38)/100</f>
        <v>0</v>
      </c>
      <c r="M10" s="45">
        <f>('BMP Suitability 01'!M10*'BMP Removal Rates'!$M$38)/100</f>
        <v>0</v>
      </c>
      <c r="N10" s="110">
        <f>IF('(STEP 1) Baseline Conditions'!$B$6="Poor",('BMP Suitability 01'!N10*'BMP Removal Rates'!N$41)/100, IF('(STEP 1) Baseline Conditions'!$B$6="Average", ('BMP Suitability 01'!N10*'BMP Removal Rates'!N$42)/100, IF('(STEP 1) Baseline Conditions'!$B$6="Best",('BMP Suitability 01'!N10*'BMP Removal Rates'!N$38)/100)))</f>
        <v>0.82</v>
      </c>
      <c r="O10" s="110">
        <f>IF('(STEP 1) Baseline Conditions'!$B$6="Poor",('BMP Suitability 01'!O10*'BMP Removal Rates'!O$41)/100, IF('(STEP 1) Baseline Conditions'!$B$6="Average", ('BMP Suitability 01'!O10*'BMP Removal Rates'!O$42)/100, IF('(STEP 1) Baseline Conditions'!$B$6="Best",('BMP Suitability 01'!O10*'BMP Removal Rates'!O$38)/100)))</f>
        <v>0.21</v>
      </c>
      <c r="P10" s="110">
        <f>IF('(STEP 1) Baseline Conditions'!$B$6="Poor",('BMP Suitability 01'!P10*'BMP Removal Rates'!P$41)/100, IF('(STEP 1) Baseline Conditions'!$B$6="Average", ('BMP Suitability 01'!P10*'BMP Removal Rates'!P$42)/100, IF('(STEP 1) Baseline Conditions'!$B$6="Best",('BMP Suitability 01'!P10*'BMP Removal Rates'!P$38)/100)))</f>
        <v>0</v>
      </c>
      <c r="Q10" s="110">
        <f>IF('(STEP 1) Baseline Conditions'!$B$6="Poor",('BMP Suitability 01'!Q10*'BMP Removal Rates'!Q$41)/100, IF('(STEP 1) Baseline Conditions'!$B$6="Average", ('BMP Suitability 01'!Q10*'BMP Removal Rates'!Q$42)/100, IF('(STEP 1) Baseline Conditions'!$B$6="Best",('BMP Suitability 01'!Q10*'BMP Removal Rates'!Q$38)/100)))</f>
        <v>0</v>
      </c>
      <c r="R10" s="110">
        <f>IF('(STEP 1) Baseline Conditions'!$B$6="Poor",('BMP Suitability 01'!R10*'BMP Removal Rates'!R$41)/100, IF('(STEP 1) Baseline Conditions'!$B$6="Average", ('BMP Suitability 01'!R10*'BMP Removal Rates'!R$42)/100, IF('(STEP 1) Baseline Conditions'!$B$6="Best",('BMP Suitability 01'!R10*'BMP Removal Rates'!R$38)/100)))</f>
        <v>0</v>
      </c>
      <c r="S10" s="110">
        <f>IF('(STEP 1) Baseline Conditions'!$B$6="Poor",('BMP Suitability 01'!S10*'BMP Removal Rates'!S$41)/100, IF('(STEP 1) Baseline Conditions'!$B$6="Average", ('BMP Suitability 01'!S10*'BMP Removal Rates'!S$42)/100, IF('(STEP 1) Baseline Conditions'!$B$6="Best",('BMP Suitability 01'!S10*'BMP Removal Rates'!S$38)/100)))</f>
        <v>0</v>
      </c>
      <c r="T10" s="110">
        <f>IF('(STEP 1) Baseline Conditions'!$B$6="Poor",('BMP Suitability 01'!T10*'BMP Removal Rates'!T$41)/100, IF('(STEP 1) Baseline Conditions'!$B$6="Average", ('BMP Suitability 01'!T10*'BMP Removal Rates'!T$42)/100, IF('(STEP 1) Baseline Conditions'!$B$6="Best",('BMP Suitability 01'!T10*'BMP Removal Rates'!T$38)/100)))</f>
        <v>0</v>
      </c>
      <c r="U10" s="110">
        <f>IF('(STEP 1) Baseline Conditions'!$B$6="Poor",('BMP Suitability 01'!U10*'BMP Removal Rates'!U$41)/100, IF('(STEP 1) Baseline Conditions'!$B$6="Average", ('BMP Suitability 01'!U10*'BMP Removal Rates'!U$42)/100, IF('(STEP 1) Baseline Conditions'!$B$6="Best",('BMP Suitability 01'!U10*'BMP Removal Rates'!U$38)/100)))</f>
        <v>0</v>
      </c>
      <c r="V10" s="110">
        <f>IF('(STEP 1) Baseline Conditions'!$B$6="Poor",('BMP Suitability 01'!V10*'BMP Removal Rates'!V$41)/100, IF('(STEP 1) Baseline Conditions'!$B$6="Average", ('BMP Suitability 01'!V10*'BMP Removal Rates'!V$42)/100, IF('(STEP 1) Baseline Conditions'!$B$6="Best",('BMP Suitability 01'!V10*'BMP Removal Rates'!V$38)/100)))</f>
        <v>0.72750000000000004</v>
      </c>
      <c r="W10" s="110">
        <f>IF('(STEP 1) Baseline Conditions'!$B$6="Poor",('BMP Suitability 01'!W10*'BMP Removal Rates'!W$41)/100, IF('(STEP 1) Baseline Conditions'!$B$6="Average", ('BMP Suitability 01'!W10*'BMP Removal Rates'!W$42)/100, IF('(STEP 1) Baseline Conditions'!$B$6="Best",('BMP Suitability 01'!W10*'BMP Removal Rates'!W$38)/100)))</f>
        <v>0.755</v>
      </c>
      <c r="X10" s="110">
        <f>IF('(STEP 1) Baseline Conditions'!$B$6="Poor",('BMP Suitability 01'!X10*'BMP Removal Rates'!X$41)/100, IF('(STEP 1) Baseline Conditions'!$B$6="Average", ('BMP Suitability 01'!X10*'BMP Removal Rates'!X$42)/100, IF('(STEP 1) Baseline Conditions'!$B$6="Best",('BMP Suitability 01'!X10*'BMP Removal Rates'!X$38)/100)))</f>
        <v>0.85</v>
      </c>
      <c r="Y10" s="110">
        <f>IF('(STEP 1) Baseline Conditions'!$B$6="Poor",('BMP Suitability 01'!Y10*'BMP Removal Rates'!Y$41)/100, IF('(STEP 1) Baseline Conditions'!$B$6="Average", ('BMP Suitability 01'!Y10*'BMP Removal Rates'!Y$42)/100, IF('(STEP 1) Baseline Conditions'!$B$6="Best",('BMP Suitability 01'!Y10*'BMP Removal Rates'!Y$38)/100)))</f>
        <v>0.22</v>
      </c>
      <c r="Z10" s="110">
        <f>IF('(STEP 1) Baseline Conditions'!$B$6="Poor",('BMP Suitability 01'!Z10*'BMP Removal Rates'!Z$41)/100, IF('(STEP 1) Baseline Conditions'!$B$6="Average", ('BMP Suitability 01'!Z10*'BMP Removal Rates'!Z$42)/100, IF('(STEP 1) Baseline Conditions'!$B$6="Best",('BMP Suitability 01'!Z10*'BMP Removal Rates'!Z$38)/100)))</f>
        <v>0</v>
      </c>
      <c r="AA10" s="110">
        <f>IF('(STEP 1) Baseline Conditions'!$B$6="Poor",('BMP Suitability 01'!AA10*'BMP Removal Rates'!AA$41)/100, IF('(STEP 1) Baseline Conditions'!$B$6="Average", ('BMP Suitability 01'!AA10*'BMP Removal Rates'!AA$42)/100, IF('(STEP 1) Baseline Conditions'!$B$6="Best",('BMP Suitability 01'!AA10*'BMP Removal Rates'!AA$38)/100)))</f>
        <v>0</v>
      </c>
      <c r="AB10" s="110">
        <f>IF('(STEP 1) Baseline Conditions'!$B$6="Poor",('BMP Suitability 01'!AB10*'BMP Removal Rates'!AB$41)/100, IF('(STEP 1) Baseline Conditions'!$B$6="Average", ('BMP Suitability 01'!AB10*'BMP Removal Rates'!AB$42)/100, IF('(STEP 1) Baseline Conditions'!$B$6="Best",('BMP Suitability 01'!AB10*'BMP Removal Rates'!AB$38)/100)))</f>
        <v>0.55437499999999995</v>
      </c>
      <c r="AC10" s="110">
        <f>IF('(STEP 1) Baseline Conditions'!$B$6="Poor",('BMP Suitability 01'!AC10*'BMP Removal Rates'!AC$41)/100, IF('(STEP 1) Baseline Conditions'!$B$6="Average", ('BMP Suitability 01'!AC10*'BMP Removal Rates'!AC$42)/100, IF('(STEP 1) Baseline Conditions'!$B$6="Best",('BMP Suitability 01'!AC10*'BMP Removal Rates'!AC$38)/100)))</f>
        <v>0.62</v>
      </c>
    </row>
    <row r="11" spans="1:29" x14ac:dyDescent="0.25">
      <c r="A11" s="3" t="s">
        <v>26</v>
      </c>
      <c r="B11" s="45">
        <f>IF(INDEX('Dosskey Coefficients'!$N$2:$N$20,MATCH('(STEP 1) Baseline Conditions'!$B$14,'Dosskey Coefficients'!$K$2:$K$20,0),0)&lt;0,('BMP Suitability 01'!B11*'BMP Removal Rates'!$B$38)/100, 'BMP Suitability 01'!B11*'BMP Removal Rates'!$B$39/100)</f>
        <v>0.87</v>
      </c>
      <c r="C11" s="45">
        <f>IF(INDEX('Dosskey Coefficients'!$N$2:$N$20,MATCH('(STEP 1) Baseline Conditions'!$B$14,'Dosskey Coefficients'!$K$2:$K$20,0),0)&lt;0,('BMP Suitability 01'!C11*$C$38)/100, 'BMP Suitability 01'!C11*$C$39/100)</f>
        <v>0.64500000000000002</v>
      </c>
      <c r="D11" s="45">
        <f>('BMP Suitability 01'!D11*'BMP Removal Rates'!$D$38)/100</f>
        <v>0.62</v>
      </c>
      <c r="E11" s="45">
        <f>('BMP Suitability 01'!E11*'BMP Removal Rates'!$E$38)/100</f>
        <v>0.38500000000000001</v>
      </c>
      <c r="F11" s="45">
        <f>('BMP Suitability 01'!F11*'BMP Removal Rates'!$F$38)/100</f>
        <v>0.4</v>
      </c>
      <c r="G11" s="45">
        <f>('BMP Suitability 01'!G11*'BMP Removal Rates'!$G$38)/100</f>
        <v>0.75</v>
      </c>
      <c r="H11" s="45">
        <f>('BMP Suitability 01'!H11*'BMP Removal Rates'!$H$38)/100</f>
        <v>0.95</v>
      </c>
      <c r="I11" s="45">
        <f>('BMP Suitability 01'!I11*'BMP Removal Rates'!$I$38)/100</f>
        <v>0.85</v>
      </c>
      <c r="J11" s="45">
        <f>('BMP Suitability 01'!J11*'BMP Removal Rates'!$J$38)/100</f>
        <v>0.9</v>
      </c>
      <c r="K11" s="45">
        <f>('BMP Suitability 01'!K11*'BMP Removal Rates'!$K$38)/100</f>
        <v>0.75</v>
      </c>
      <c r="L11" s="45">
        <f>('BMP Suitability 01'!L11*'BMP Removal Rates'!$L$38)/100</f>
        <v>0</v>
      </c>
      <c r="M11" s="45">
        <f>('BMP Suitability 01'!M11*'BMP Removal Rates'!$M$38)/100</f>
        <v>0</v>
      </c>
      <c r="N11" s="110">
        <f>IF('(STEP 1) Baseline Conditions'!$B$6="Poor",('BMP Suitability 01'!N11*'BMP Removal Rates'!N$41)/100, IF('(STEP 1) Baseline Conditions'!$B$6="Average", ('BMP Suitability 01'!N11*'BMP Removal Rates'!N$42)/100, IF('(STEP 1) Baseline Conditions'!$B$6="Best",('BMP Suitability 01'!N11*'BMP Removal Rates'!N$38)/100)))</f>
        <v>0.82</v>
      </c>
      <c r="O11" s="110">
        <f>IF('(STEP 1) Baseline Conditions'!$B$6="Poor",('BMP Suitability 01'!O11*'BMP Removal Rates'!O$41)/100, IF('(STEP 1) Baseline Conditions'!$B$6="Average", ('BMP Suitability 01'!O11*'BMP Removal Rates'!O$42)/100, IF('(STEP 1) Baseline Conditions'!$B$6="Best",('BMP Suitability 01'!O11*'BMP Removal Rates'!O$38)/100)))</f>
        <v>0.21</v>
      </c>
      <c r="P11" s="110">
        <f>IF('(STEP 1) Baseline Conditions'!$B$6="Poor",('BMP Suitability 01'!P11*'BMP Removal Rates'!P$41)/100, IF('(STEP 1) Baseline Conditions'!$B$6="Average", ('BMP Suitability 01'!P11*'BMP Removal Rates'!P$42)/100, IF('(STEP 1) Baseline Conditions'!$B$6="Best",('BMP Suitability 01'!P11*'BMP Removal Rates'!P$38)/100)))</f>
        <v>0.83750000000000002</v>
      </c>
      <c r="Q11" s="110">
        <f>IF('(STEP 1) Baseline Conditions'!$B$6="Poor",('BMP Suitability 01'!Q11*'BMP Removal Rates'!Q$41)/100, IF('(STEP 1) Baseline Conditions'!$B$6="Average", ('BMP Suitability 01'!Q11*'BMP Removal Rates'!Q$42)/100, IF('(STEP 1) Baseline Conditions'!$B$6="Best",('BMP Suitability 01'!Q11*'BMP Removal Rates'!Q$38)/100)))</f>
        <v>0.73750000000000004</v>
      </c>
      <c r="R11" s="110">
        <f>IF('(STEP 1) Baseline Conditions'!$B$6="Poor",('BMP Suitability 01'!R11*'BMP Removal Rates'!R$41)/100, IF('(STEP 1) Baseline Conditions'!$B$6="Average", ('BMP Suitability 01'!R11*'BMP Removal Rates'!R$42)/100, IF('(STEP 1) Baseline Conditions'!$B$6="Best",('BMP Suitability 01'!R11*'BMP Removal Rates'!R$38)/100)))</f>
        <v>0</v>
      </c>
      <c r="S11" s="110">
        <f>IF('(STEP 1) Baseline Conditions'!$B$6="Poor",('BMP Suitability 01'!S11*'BMP Removal Rates'!S$41)/100, IF('(STEP 1) Baseline Conditions'!$B$6="Average", ('BMP Suitability 01'!S11*'BMP Removal Rates'!S$42)/100, IF('(STEP 1) Baseline Conditions'!$B$6="Best",('BMP Suitability 01'!S11*'BMP Removal Rates'!S$38)/100)))</f>
        <v>0</v>
      </c>
      <c r="T11" s="110">
        <f>IF('(STEP 1) Baseline Conditions'!$B$6="Poor",('BMP Suitability 01'!T11*'BMP Removal Rates'!T$41)/100, IF('(STEP 1) Baseline Conditions'!$B$6="Average", ('BMP Suitability 01'!T11*'BMP Removal Rates'!T$42)/100, IF('(STEP 1) Baseline Conditions'!$B$6="Best",('BMP Suitability 01'!T11*'BMP Removal Rates'!T$38)/100)))</f>
        <v>0.79749999999999999</v>
      </c>
      <c r="U11" s="110">
        <f>IF('(STEP 1) Baseline Conditions'!$B$6="Poor",('BMP Suitability 01'!U11*'BMP Removal Rates'!U$41)/100, IF('(STEP 1) Baseline Conditions'!$B$6="Average", ('BMP Suitability 01'!U11*'BMP Removal Rates'!U$42)/100, IF('(STEP 1) Baseline Conditions'!$B$6="Best",('BMP Suitability 01'!U11*'BMP Removal Rates'!U$38)/100)))</f>
        <v>0.52500000000000002</v>
      </c>
      <c r="V11" s="110">
        <f>IF('(STEP 1) Baseline Conditions'!$B$6="Poor",('BMP Suitability 01'!V11*'BMP Removal Rates'!V$41)/100, IF('(STEP 1) Baseline Conditions'!$B$6="Average", ('BMP Suitability 01'!V11*'BMP Removal Rates'!V$42)/100, IF('(STEP 1) Baseline Conditions'!$B$6="Best",('BMP Suitability 01'!V11*'BMP Removal Rates'!V$38)/100)))</f>
        <v>0.72750000000000004</v>
      </c>
      <c r="W11" s="110">
        <f>IF('(STEP 1) Baseline Conditions'!$B$6="Poor",('BMP Suitability 01'!W11*'BMP Removal Rates'!W$41)/100, IF('(STEP 1) Baseline Conditions'!$B$6="Average", ('BMP Suitability 01'!W11*'BMP Removal Rates'!W$42)/100, IF('(STEP 1) Baseline Conditions'!$B$6="Best",('BMP Suitability 01'!W11*'BMP Removal Rates'!W$38)/100)))</f>
        <v>0.755</v>
      </c>
      <c r="X11" s="110">
        <f>IF('(STEP 1) Baseline Conditions'!$B$6="Poor",('BMP Suitability 01'!X11*'BMP Removal Rates'!X$41)/100, IF('(STEP 1) Baseline Conditions'!$B$6="Average", ('BMP Suitability 01'!X11*'BMP Removal Rates'!X$42)/100, IF('(STEP 1) Baseline Conditions'!$B$6="Best",('BMP Suitability 01'!X11*'BMP Removal Rates'!X$38)/100)))</f>
        <v>0.85</v>
      </c>
      <c r="Y11" s="110">
        <f>IF('(STEP 1) Baseline Conditions'!$B$6="Poor",('BMP Suitability 01'!Y11*'BMP Removal Rates'!Y$41)/100, IF('(STEP 1) Baseline Conditions'!$B$6="Average", ('BMP Suitability 01'!Y11*'BMP Removal Rates'!Y$42)/100, IF('(STEP 1) Baseline Conditions'!$B$6="Best",('BMP Suitability 01'!Y11*'BMP Removal Rates'!Y$38)/100)))</f>
        <v>0.22</v>
      </c>
      <c r="Z11" s="110">
        <f>IF('(STEP 1) Baseline Conditions'!$B$6="Poor",('BMP Suitability 01'!Z11*'BMP Removal Rates'!Z$41)/100, IF('(STEP 1) Baseline Conditions'!$B$6="Average", ('BMP Suitability 01'!Z11*'BMP Removal Rates'!Z$42)/100, IF('(STEP 1) Baseline Conditions'!$B$6="Best",('BMP Suitability 01'!Z11*'BMP Removal Rates'!Z$38)/100)))</f>
        <v>0</v>
      </c>
      <c r="AA11" s="110">
        <f>IF('(STEP 1) Baseline Conditions'!$B$6="Poor",('BMP Suitability 01'!AA11*'BMP Removal Rates'!AA$41)/100, IF('(STEP 1) Baseline Conditions'!$B$6="Average", ('BMP Suitability 01'!AA11*'BMP Removal Rates'!AA$42)/100, IF('(STEP 1) Baseline Conditions'!$B$6="Best",('BMP Suitability 01'!AA11*'BMP Removal Rates'!AA$38)/100)))</f>
        <v>0</v>
      </c>
      <c r="AB11" s="110">
        <f>IF('(STEP 1) Baseline Conditions'!$B$6="Poor",('BMP Suitability 01'!AB11*'BMP Removal Rates'!AB$41)/100, IF('(STEP 1) Baseline Conditions'!$B$6="Average", ('BMP Suitability 01'!AB11*'BMP Removal Rates'!AB$42)/100, IF('(STEP 1) Baseline Conditions'!$B$6="Best",('BMP Suitability 01'!AB11*'BMP Removal Rates'!AB$38)/100)))</f>
        <v>0.55437499999999995</v>
      </c>
      <c r="AC11" s="110">
        <f>IF('(STEP 1) Baseline Conditions'!$B$6="Poor",('BMP Suitability 01'!AC11*'BMP Removal Rates'!AC$41)/100, IF('(STEP 1) Baseline Conditions'!$B$6="Average", ('BMP Suitability 01'!AC11*'BMP Removal Rates'!AC$42)/100, IF('(STEP 1) Baseline Conditions'!$B$6="Best",('BMP Suitability 01'!AC11*'BMP Removal Rates'!AC$38)/100)))</f>
        <v>0.62</v>
      </c>
    </row>
    <row r="12" spans="1:29" x14ac:dyDescent="0.25">
      <c r="A12" s="3" t="s">
        <v>27</v>
      </c>
      <c r="B12" s="45">
        <f>IF(INDEX('Dosskey Coefficients'!$N$2:$N$20,MATCH('(STEP 1) Baseline Conditions'!$B$14,'Dosskey Coefficients'!$K$2:$K$20,0),0)&lt;0,('BMP Suitability 01'!B12*'BMP Removal Rates'!$B$38)/100, 'BMP Suitability 01'!B12*'BMP Removal Rates'!$B$39/100)</f>
        <v>0.87</v>
      </c>
      <c r="C12" s="45">
        <f>IF(INDEX('Dosskey Coefficients'!$N$2:$N$20,MATCH('(STEP 1) Baseline Conditions'!$B$14,'Dosskey Coefficients'!$K$2:$K$20,0),0)&lt;0,('BMP Suitability 01'!C12*$C$38)/100, 'BMP Suitability 01'!C12*$C$39/100)</f>
        <v>0.64500000000000002</v>
      </c>
      <c r="D12" s="45">
        <f>('BMP Suitability 01'!D12*'BMP Removal Rates'!$D$38)/100</f>
        <v>0.62</v>
      </c>
      <c r="E12" s="45">
        <f>('BMP Suitability 01'!E12*'BMP Removal Rates'!$E$38)/100</f>
        <v>0.38500000000000001</v>
      </c>
      <c r="F12" s="45">
        <f>('BMP Suitability 01'!F12*'BMP Removal Rates'!$F$38)/100</f>
        <v>0.4</v>
      </c>
      <c r="G12" s="45">
        <f>('BMP Suitability 01'!G12*'BMP Removal Rates'!$G$38)/100</f>
        <v>0.75</v>
      </c>
      <c r="H12" s="45">
        <f>('BMP Suitability 01'!H12*'BMP Removal Rates'!$H$38)/100</f>
        <v>0.95</v>
      </c>
      <c r="I12" s="45">
        <f>('BMP Suitability 01'!I12*'BMP Removal Rates'!$I$38)/100</f>
        <v>0.85</v>
      </c>
      <c r="J12" s="45">
        <f>('BMP Suitability 01'!J12*'BMP Removal Rates'!$J$38)/100</f>
        <v>0.9</v>
      </c>
      <c r="K12" s="45">
        <f>('BMP Suitability 01'!K12*'BMP Removal Rates'!$K$38)/100</f>
        <v>0.75</v>
      </c>
      <c r="L12" s="45">
        <f>('BMP Suitability 01'!L12*'BMP Removal Rates'!$L$38)/100</f>
        <v>0.69</v>
      </c>
      <c r="M12" s="45">
        <f>('BMP Suitability 01'!M12*'BMP Removal Rates'!$M$38)/100</f>
        <v>0.77500000000000002</v>
      </c>
      <c r="N12" s="110">
        <f>IF('(STEP 1) Baseline Conditions'!$B$6="Poor",('BMP Suitability 01'!N12*'BMP Removal Rates'!N$41)/100, IF('(STEP 1) Baseline Conditions'!$B$6="Average", ('BMP Suitability 01'!N12*'BMP Removal Rates'!N$42)/100, IF('(STEP 1) Baseline Conditions'!$B$6="Best",('BMP Suitability 01'!N12*'BMP Removal Rates'!N$38)/100)))</f>
        <v>0.82</v>
      </c>
      <c r="O12" s="110">
        <f>IF('(STEP 1) Baseline Conditions'!$B$6="Poor",('BMP Suitability 01'!O12*'BMP Removal Rates'!O$41)/100, IF('(STEP 1) Baseline Conditions'!$B$6="Average", ('BMP Suitability 01'!O12*'BMP Removal Rates'!O$42)/100, IF('(STEP 1) Baseline Conditions'!$B$6="Best",('BMP Suitability 01'!O12*'BMP Removal Rates'!O$38)/100)))</f>
        <v>0.21</v>
      </c>
      <c r="P12" s="110">
        <f>IF('(STEP 1) Baseline Conditions'!$B$6="Poor",('BMP Suitability 01'!P12*'BMP Removal Rates'!P$41)/100, IF('(STEP 1) Baseline Conditions'!$B$6="Average", ('BMP Suitability 01'!P12*'BMP Removal Rates'!P$42)/100, IF('(STEP 1) Baseline Conditions'!$B$6="Best",('BMP Suitability 01'!P12*'BMP Removal Rates'!P$38)/100)))</f>
        <v>0.83750000000000002</v>
      </c>
      <c r="Q12" s="110">
        <f>IF('(STEP 1) Baseline Conditions'!$B$6="Poor",('BMP Suitability 01'!Q12*'BMP Removal Rates'!Q$41)/100, IF('(STEP 1) Baseline Conditions'!$B$6="Average", ('BMP Suitability 01'!Q12*'BMP Removal Rates'!Q$42)/100, IF('(STEP 1) Baseline Conditions'!$B$6="Best",('BMP Suitability 01'!Q12*'BMP Removal Rates'!Q$38)/100)))</f>
        <v>0.73750000000000004</v>
      </c>
      <c r="R12" s="110">
        <f>IF('(STEP 1) Baseline Conditions'!$B$6="Poor",('BMP Suitability 01'!R12*'BMP Removal Rates'!R$41)/100, IF('(STEP 1) Baseline Conditions'!$B$6="Average", ('BMP Suitability 01'!R12*'BMP Removal Rates'!R$42)/100, IF('(STEP 1) Baseline Conditions'!$B$6="Best",('BMP Suitability 01'!R12*'BMP Removal Rates'!R$38)/100)))</f>
        <v>0</v>
      </c>
      <c r="S12" s="110">
        <f>IF('(STEP 1) Baseline Conditions'!$B$6="Poor",('BMP Suitability 01'!S12*'BMP Removal Rates'!S$41)/100, IF('(STEP 1) Baseline Conditions'!$B$6="Average", ('BMP Suitability 01'!S12*'BMP Removal Rates'!S$42)/100, IF('(STEP 1) Baseline Conditions'!$B$6="Best",('BMP Suitability 01'!S12*'BMP Removal Rates'!S$38)/100)))</f>
        <v>0</v>
      </c>
      <c r="T12" s="110">
        <f>IF('(STEP 1) Baseline Conditions'!$B$6="Poor",('BMP Suitability 01'!T12*'BMP Removal Rates'!T$41)/100, IF('(STEP 1) Baseline Conditions'!$B$6="Average", ('BMP Suitability 01'!T12*'BMP Removal Rates'!T$42)/100, IF('(STEP 1) Baseline Conditions'!$B$6="Best",('BMP Suitability 01'!T12*'BMP Removal Rates'!T$38)/100)))</f>
        <v>0.79749999999999999</v>
      </c>
      <c r="U12" s="110">
        <f>IF('(STEP 1) Baseline Conditions'!$B$6="Poor",('BMP Suitability 01'!U12*'BMP Removal Rates'!U$41)/100, IF('(STEP 1) Baseline Conditions'!$B$6="Average", ('BMP Suitability 01'!U12*'BMP Removal Rates'!U$42)/100, IF('(STEP 1) Baseline Conditions'!$B$6="Best",('BMP Suitability 01'!U12*'BMP Removal Rates'!U$38)/100)))</f>
        <v>0.52500000000000002</v>
      </c>
      <c r="V12" s="110">
        <f>IF('(STEP 1) Baseline Conditions'!$B$6="Poor",('BMP Suitability 01'!V12*'BMP Removal Rates'!V$41)/100, IF('(STEP 1) Baseline Conditions'!$B$6="Average", ('BMP Suitability 01'!V12*'BMP Removal Rates'!V$42)/100, IF('(STEP 1) Baseline Conditions'!$B$6="Best",('BMP Suitability 01'!V12*'BMP Removal Rates'!V$38)/100)))</f>
        <v>0.72750000000000004</v>
      </c>
      <c r="W12" s="110">
        <f>IF('(STEP 1) Baseline Conditions'!$B$6="Poor",('BMP Suitability 01'!W12*'BMP Removal Rates'!W$41)/100, IF('(STEP 1) Baseline Conditions'!$B$6="Average", ('BMP Suitability 01'!W12*'BMP Removal Rates'!W$42)/100, IF('(STEP 1) Baseline Conditions'!$B$6="Best",('BMP Suitability 01'!W12*'BMP Removal Rates'!W$38)/100)))</f>
        <v>0.755</v>
      </c>
      <c r="X12" s="110">
        <f>IF('(STEP 1) Baseline Conditions'!$B$6="Poor",('BMP Suitability 01'!X12*'BMP Removal Rates'!X$41)/100, IF('(STEP 1) Baseline Conditions'!$B$6="Average", ('BMP Suitability 01'!X12*'BMP Removal Rates'!X$42)/100, IF('(STEP 1) Baseline Conditions'!$B$6="Best",('BMP Suitability 01'!X12*'BMP Removal Rates'!X$38)/100)))</f>
        <v>0</v>
      </c>
      <c r="Y12" s="110">
        <f>IF('(STEP 1) Baseline Conditions'!$B$6="Poor",('BMP Suitability 01'!Y12*'BMP Removal Rates'!Y$41)/100, IF('(STEP 1) Baseline Conditions'!$B$6="Average", ('BMP Suitability 01'!Y12*'BMP Removal Rates'!Y$42)/100, IF('(STEP 1) Baseline Conditions'!$B$6="Best",('BMP Suitability 01'!Y12*'BMP Removal Rates'!Y$38)/100)))</f>
        <v>0</v>
      </c>
      <c r="Z12" s="110">
        <f>IF('(STEP 1) Baseline Conditions'!$B$6="Poor",('BMP Suitability 01'!Z12*'BMP Removal Rates'!Z$41)/100, IF('(STEP 1) Baseline Conditions'!$B$6="Average", ('BMP Suitability 01'!Z12*'BMP Removal Rates'!Z$42)/100, IF('(STEP 1) Baseline Conditions'!$B$6="Best",('BMP Suitability 01'!Z12*'BMP Removal Rates'!Z$38)/100)))</f>
        <v>0</v>
      </c>
      <c r="AA12" s="110">
        <f>IF('(STEP 1) Baseline Conditions'!$B$6="Poor",('BMP Suitability 01'!AA12*'BMP Removal Rates'!AA$41)/100, IF('(STEP 1) Baseline Conditions'!$B$6="Average", ('BMP Suitability 01'!AA12*'BMP Removal Rates'!AA$42)/100, IF('(STEP 1) Baseline Conditions'!$B$6="Best",('BMP Suitability 01'!AA12*'BMP Removal Rates'!AA$38)/100)))</f>
        <v>0</v>
      </c>
      <c r="AB12" s="110">
        <f>IF('(STEP 1) Baseline Conditions'!$B$6="Poor",('BMP Suitability 01'!AB12*'BMP Removal Rates'!AB$41)/100, IF('(STEP 1) Baseline Conditions'!$B$6="Average", ('BMP Suitability 01'!AB12*'BMP Removal Rates'!AB$42)/100, IF('(STEP 1) Baseline Conditions'!$B$6="Best",('BMP Suitability 01'!AB12*'BMP Removal Rates'!AB$38)/100)))</f>
        <v>0</v>
      </c>
      <c r="AC12" s="110">
        <f>IF('(STEP 1) Baseline Conditions'!$B$6="Poor",('BMP Suitability 01'!AC12*'BMP Removal Rates'!AC$41)/100, IF('(STEP 1) Baseline Conditions'!$B$6="Average", ('BMP Suitability 01'!AC12*'BMP Removal Rates'!AC$42)/100, IF('(STEP 1) Baseline Conditions'!$B$6="Best",('BMP Suitability 01'!AC12*'BMP Removal Rates'!AC$38)/100)))</f>
        <v>0</v>
      </c>
    </row>
    <row r="13" spans="1:29" x14ac:dyDescent="0.25">
      <c r="A13" s="3" t="s">
        <v>28</v>
      </c>
      <c r="B13" s="45">
        <f>IF(INDEX('Dosskey Coefficients'!$N$2:$N$20,MATCH('(STEP 1) Baseline Conditions'!$B$14,'Dosskey Coefficients'!$K$2:$K$20,0),0)&lt;0,('BMP Suitability 01'!B13*'BMP Removal Rates'!$B$38)/100, 'BMP Suitability 01'!B13*'BMP Removal Rates'!$B$39/100)</f>
        <v>0</v>
      </c>
      <c r="C13" s="45">
        <f>IF(INDEX('Dosskey Coefficients'!$N$2:$N$20,MATCH('(STEP 1) Baseline Conditions'!$B$14,'Dosskey Coefficients'!$K$2:$K$20,0),0)&lt;0,('BMP Suitability 01'!C13*$C$38)/100, 'BMP Suitability 01'!C13*$C$39/100)</f>
        <v>0</v>
      </c>
      <c r="D13" s="45">
        <f>('BMP Suitability 01'!D13*'BMP Removal Rates'!$D$38)/100</f>
        <v>0.62</v>
      </c>
      <c r="E13" s="45">
        <f>('BMP Suitability 01'!E13*'BMP Removal Rates'!$E$38)/100</f>
        <v>0.38500000000000001</v>
      </c>
      <c r="F13" s="45">
        <f>('BMP Suitability 01'!F13*'BMP Removal Rates'!$F$38)/100</f>
        <v>0.4</v>
      </c>
      <c r="G13" s="45">
        <f>('BMP Suitability 01'!G13*'BMP Removal Rates'!$G$38)/100</f>
        <v>0.75</v>
      </c>
      <c r="H13" s="45">
        <f>('BMP Suitability 01'!H13*'BMP Removal Rates'!$H$38)/100</f>
        <v>0.95</v>
      </c>
      <c r="I13" s="45">
        <f>('BMP Suitability 01'!I13*'BMP Removal Rates'!$I$38)/100</f>
        <v>0.85</v>
      </c>
      <c r="J13" s="45">
        <f>('BMP Suitability 01'!J13*'BMP Removal Rates'!$J$38)/100</f>
        <v>0.9</v>
      </c>
      <c r="K13" s="45">
        <f>('BMP Suitability 01'!K13*'BMP Removal Rates'!$K$38)/100</f>
        <v>0.75</v>
      </c>
      <c r="L13" s="45">
        <f>('BMP Suitability 01'!L13*'BMP Removal Rates'!$L$38)/100</f>
        <v>0</v>
      </c>
      <c r="M13" s="45">
        <f>('BMP Suitability 01'!M13*'BMP Removal Rates'!$M$38)/100</f>
        <v>0</v>
      </c>
      <c r="N13" s="110">
        <f>IF('(STEP 1) Baseline Conditions'!$B$6="Poor",('BMP Suitability 01'!N13*'BMP Removal Rates'!N$41)/100, IF('(STEP 1) Baseline Conditions'!$B$6="Average", ('BMP Suitability 01'!N13*'BMP Removal Rates'!N$42)/100, IF('(STEP 1) Baseline Conditions'!$B$6="Best",('BMP Suitability 01'!N13*'BMP Removal Rates'!N$38)/100)))</f>
        <v>0</v>
      </c>
      <c r="O13" s="110">
        <f>IF('(STEP 1) Baseline Conditions'!$B$6="Poor",('BMP Suitability 01'!O13*'BMP Removal Rates'!O$41)/100, IF('(STEP 1) Baseline Conditions'!$B$6="Average", ('BMP Suitability 01'!O13*'BMP Removal Rates'!O$42)/100, IF('(STEP 1) Baseline Conditions'!$B$6="Best",('BMP Suitability 01'!O13*'BMP Removal Rates'!O$38)/100)))</f>
        <v>0</v>
      </c>
      <c r="P13" s="110">
        <f>IF('(STEP 1) Baseline Conditions'!$B$6="Poor",('BMP Suitability 01'!P13*'BMP Removal Rates'!P$41)/100, IF('(STEP 1) Baseline Conditions'!$B$6="Average", ('BMP Suitability 01'!P13*'BMP Removal Rates'!P$42)/100, IF('(STEP 1) Baseline Conditions'!$B$6="Best",('BMP Suitability 01'!P13*'BMP Removal Rates'!P$38)/100)))</f>
        <v>0</v>
      </c>
      <c r="Q13" s="110">
        <f>IF('(STEP 1) Baseline Conditions'!$B$6="Poor",('BMP Suitability 01'!Q13*'BMP Removal Rates'!Q$41)/100, IF('(STEP 1) Baseline Conditions'!$B$6="Average", ('BMP Suitability 01'!Q13*'BMP Removal Rates'!Q$42)/100, IF('(STEP 1) Baseline Conditions'!$B$6="Best",('BMP Suitability 01'!Q13*'BMP Removal Rates'!Q$38)/100)))</f>
        <v>0</v>
      </c>
      <c r="R13" s="110">
        <f>IF('(STEP 1) Baseline Conditions'!$B$6="Poor",('BMP Suitability 01'!R13*'BMP Removal Rates'!R$41)/100, IF('(STEP 1) Baseline Conditions'!$B$6="Average", ('BMP Suitability 01'!R13*'BMP Removal Rates'!R$42)/100, IF('(STEP 1) Baseline Conditions'!$B$6="Best",('BMP Suitability 01'!R13*'BMP Removal Rates'!R$38)/100)))</f>
        <v>0</v>
      </c>
      <c r="S13" s="110">
        <f>IF('(STEP 1) Baseline Conditions'!$B$6="Poor",('BMP Suitability 01'!S13*'BMP Removal Rates'!S$41)/100, IF('(STEP 1) Baseline Conditions'!$B$6="Average", ('BMP Suitability 01'!S13*'BMP Removal Rates'!S$42)/100, IF('(STEP 1) Baseline Conditions'!$B$6="Best",('BMP Suitability 01'!S13*'BMP Removal Rates'!S$38)/100)))</f>
        <v>0</v>
      </c>
      <c r="T13" s="110">
        <f>IF('(STEP 1) Baseline Conditions'!$B$6="Poor",('BMP Suitability 01'!T13*'BMP Removal Rates'!T$41)/100, IF('(STEP 1) Baseline Conditions'!$B$6="Average", ('BMP Suitability 01'!T13*'BMP Removal Rates'!T$42)/100, IF('(STEP 1) Baseline Conditions'!$B$6="Best",('BMP Suitability 01'!T13*'BMP Removal Rates'!T$38)/100)))</f>
        <v>0.79749999999999999</v>
      </c>
      <c r="U13" s="110">
        <f>IF('(STEP 1) Baseline Conditions'!$B$6="Poor",('BMP Suitability 01'!U13*'BMP Removal Rates'!U$41)/100, IF('(STEP 1) Baseline Conditions'!$B$6="Average", ('BMP Suitability 01'!U13*'BMP Removal Rates'!U$42)/100, IF('(STEP 1) Baseline Conditions'!$B$6="Best",('BMP Suitability 01'!U13*'BMP Removal Rates'!U$38)/100)))</f>
        <v>0.52500000000000002</v>
      </c>
      <c r="V13" s="110">
        <f>IF('(STEP 1) Baseline Conditions'!$B$6="Poor",('BMP Suitability 01'!V13*'BMP Removal Rates'!V$41)/100, IF('(STEP 1) Baseline Conditions'!$B$6="Average", ('BMP Suitability 01'!V13*'BMP Removal Rates'!V$42)/100, IF('(STEP 1) Baseline Conditions'!$B$6="Best",('BMP Suitability 01'!V13*'BMP Removal Rates'!V$38)/100)))</f>
        <v>0.72750000000000004</v>
      </c>
      <c r="W13" s="110">
        <f>IF('(STEP 1) Baseline Conditions'!$B$6="Poor",('BMP Suitability 01'!W13*'BMP Removal Rates'!W$41)/100, IF('(STEP 1) Baseline Conditions'!$B$6="Average", ('BMP Suitability 01'!W13*'BMP Removal Rates'!W$42)/100, IF('(STEP 1) Baseline Conditions'!$B$6="Best",('BMP Suitability 01'!W13*'BMP Removal Rates'!W$38)/100)))</f>
        <v>0.755</v>
      </c>
      <c r="X13" s="110">
        <f>IF('(STEP 1) Baseline Conditions'!$B$6="Poor",('BMP Suitability 01'!X13*'BMP Removal Rates'!X$41)/100, IF('(STEP 1) Baseline Conditions'!$B$6="Average", ('BMP Suitability 01'!X13*'BMP Removal Rates'!X$42)/100, IF('(STEP 1) Baseline Conditions'!$B$6="Best",('BMP Suitability 01'!X13*'BMP Removal Rates'!X$38)/100)))</f>
        <v>0</v>
      </c>
      <c r="Y13" s="110">
        <f>IF('(STEP 1) Baseline Conditions'!$B$6="Poor",('BMP Suitability 01'!Y13*'BMP Removal Rates'!Y$41)/100, IF('(STEP 1) Baseline Conditions'!$B$6="Average", ('BMP Suitability 01'!Y13*'BMP Removal Rates'!Y$42)/100, IF('(STEP 1) Baseline Conditions'!$B$6="Best",('BMP Suitability 01'!Y13*'BMP Removal Rates'!Y$38)/100)))</f>
        <v>0</v>
      </c>
      <c r="Z13" s="110">
        <f>IF('(STEP 1) Baseline Conditions'!$B$6="Poor",('BMP Suitability 01'!Z13*'BMP Removal Rates'!Z$41)/100, IF('(STEP 1) Baseline Conditions'!$B$6="Average", ('BMP Suitability 01'!Z13*'BMP Removal Rates'!Z$42)/100, IF('(STEP 1) Baseline Conditions'!$B$6="Best",('BMP Suitability 01'!Z13*'BMP Removal Rates'!Z$38)/100)))</f>
        <v>0.75</v>
      </c>
      <c r="AA13" s="110">
        <f>IF('(STEP 1) Baseline Conditions'!$B$6="Poor",('BMP Suitability 01'!AA13*'BMP Removal Rates'!AA$41)/100, IF('(STEP 1) Baseline Conditions'!$B$6="Average", ('BMP Suitability 01'!AA13*'BMP Removal Rates'!AA$42)/100, IF('(STEP 1) Baseline Conditions'!$B$6="Best",('BMP Suitability 01'!AA13*'BMP Removal Rates'!AA$38)/100)))</f>
        <v>0.71750000000000003</v>
      </c>
      <c r="AB13" s="110">
        <f>IF('(STEP 1) Baseline Conditions'!$B$6="Poor",('BMP Suitability 01'!AB13*'BMP Removal Rates'!AB$41)/100, IF('(STEP 1) Baseline Conditions'!$B$6="Average", ('BMP Suitability 01'!AB13*'BMP Removal Rates'!AB$42)/100, IF('(STEP 1) Baseline Conditions'!$B$6="Best",('BMP Suitability 01'!AB13*'BMP Removal Rates'!AB$38)/100)))</f>
        <v>0</v>
      </c>
      <c r="AC13" s="110">
        <f>IF('(STEP 1) Baseline Conditions'!$B$6="Poor",('BMP Suitability 01'!AC13*'BMP Removal Rates'!AC$41)/100, IF('(STEP 1) Baseline Conditions'!$B$6="Average", ('BMP Suitability 01'!AC13*'BMP Removal Rates'!AC$42)/100, IF('(STEP 1) Baseline Conditions'!$B$6="Best",('BMP Suitability 01'!AC13*'BMP Removal Rates'!AC$38)/100)))</f>
        <v>0</v>
      </c>
    </row>
    <row r="14" spans="1:29" x14ac:dyDescent="0.25">
      <c r="A14" s="3" t="s">
        <v>29</v>
      </c>
      <c r="B14" s="45">
        <f>IF(INDEX('Dosskey Coefficients'!$N$2:$N$20,MATCH('(STEP 1) Baseline Conditions'!$B$14,'Dosskey Coefficients'!$K$2:$K$20,0),0)&lt;0,('BMP Suitability 01'!B14*'BMP Removal Rates'!$B$38)/100, 'BMP Suitability 01'!B14*'BMP Removal Rates'!$B$39/100)</f>
        <v>0.87</v>
      </c>
      <c r="C14" s="45">
        <f>IF(INDEX('Dosskey Coefficients'!$N$2:$N$20,MATCH('(STEP 1) Baseline Conditions'!$B$14,'Dosskey Coefficients'!$K$2:$K$20,0),0)&lt;0,('BMP Suitability 01'!C14*$C$38)/100, 'BMP Suitability 01'!C14*$C$39/100)</f>
        <v>0.64500000000000002</v>
      </c>
      <c r="D14" s="45">
        <f>('BMP Suitability 01'!D14*'BMP Removal Rates'!$D$38)/100</f>
        <v>0.62</v>
      </c>
      <c r="E14" s="45">
        <f>('BMP Suitability 01'!E14*'BMP Removal Rates'!$E$38)/100</f>
        <v>0.38500000000000001</v>
      </c>
      <c r="F14" s="45">
        <f>('BMP Suitability 01'!F14*'BMP Removal Rates'!$F$38)/100</f>
        <v>0.4</v>
      </c>
      <c r="G14" s="45">
        <f>('BMP Suitability 01'!G14*'BMP Removal Rates'!$G$38)/100</f>
        <v>0.75</v>
      </c>
      <c r="H14" s="45">
        <f>('BMP Suitability 01'!H14*'BMP Removal Rates'!$H$38)/100</f>
        <v>0</v>
      </c>
      <c r="I14" s="45">
        <f>('BMP Suitability 01'!I14*'BMP Removal Rates'!$I$38)/100</f>
        <v>0</v>
      </c>
      <c r="J14" s="45">
        <f>('BMP Suitability 01'!J14*'BMP Removal Rates'!$J$38)/100</f>
        <v>0.9</v>
      </c>
      <c r="K14" s="45">
        <f>('BMP Suitability 01'!K14*'BMP Removal Rates'!$K$38)/100</f>
        <v>0.75</v>
      </c>
      <c r="L14" s="45">
        <f>('BMP Suitability 01'!L14*'BMP Removal Rates'!$L$38)/100</f>
        <v>0.69</v>
      </c>
      <c r="M14" s="45">
        <f>('BMP Suitability 01'!M14*'BMP Removal Rates'!$M$38)/100</f>
        <v>0.77500000000000002</v>
      </c>
      <c r="N14" s="110">
        <f>IF('(STEP 1) Baseline Conditions'!$B$6="Poor",('BMP Suitability 01'!N14*'BMP Removal Rates'!N$41)/100, IF('(STEP 1) Baseline Conditions'!$B$6="Average", ('BMP Suitability 01'!N14*'BMP Removal Rates'!N$42)/100, IF('(STEP 1) Baseline Conditions'!$B$6="Best",('BMP Suitability 01'!N14*'BMP Removal Rates'!N$38)/100)))</f>
        <v>0</v>
      </c>
      <c r="O14" s="110">
        <f>IF('(STEP 1) Baseline Conditions'!$B$6="Poor",('BMP Suitability 01'!O14*'BMP Removal Rates'!O$41)/100, IF('(STEP 1) Baseline Conditions'!$B$6="Average", ('BMP Suitability 01'!O14*'BMP Removal Rates'!O$42)/100, IF('(STEP 1) Baseline Conditions'!$B$6="Best",('BMP Suitability 01'!O14*'BMP Removal Rates'!O$38)/100)))</f>
        <v>0</v>
      </c>
      <c r="P14" s="110">
        <f>IF('(STEP 1) Baseline Conditions'!$B$6="Poor",('BMP Suitability 01'!P14*'BMP Removal Rates'!P$41)/100, IF('(STEP 1) Baseline Conditions'!$B$6="Average", ('BMP Suitability 01'!P14*'BMP Removal Rates'!P$42)/100, IF('(STEP 1) Baseline Conditions'!$B$6="Best",('BMP Suitability 01'!P14*'BMP Removal Rates'!P$38)/100)))</f>
        <v>0</v>
      </c>
      <c r="Q14" s="110">
        <f>IF('(STEP 1) Baseline Conditions'!$B$6="Poor",('BMP Suitability 01'!Q14*'BMP Removal Rates'!Q$41)/100, IF('(STEP 1) Baseline Conditions'!$B$6="Average", ('BMP Suitability 01'!Q14*'BMP Removal Rates'!Q$42)/100, IF('(STEP 1) Baseline Conditions'!$B$6="Best",('BMP Suitability 01'!Q14*'BMP Removal Rates'!Q$38)/100)))</f>
        <v>0</v>
      </c>
      <c r="R14" s="110">
        <f>IF('(STEP 1) Baseline Conditions'!$B$6="Poor",('BMP Suitability 01'!R14*'BMP Removal Rates'!R$41)/100, IF('(STEP 1) Baseline Conditions'!$B$6="Average", ('BMP Suitability 01'!R14*'BMP Removal Rates'!R$42)/100, IF('(STEP 1) Baseline Conditions'!$B$6="Best",('BMP Suitability 01'!R14*'BMP Removal Rates'!R$38)/100)))</f>
        <v>0</v>
      </c>
      <c r="S14" s="110">
        <f>IF('(STEP 1) Baseline Conditions'!$B$6="Poor",('BMP Suitability 01'!S14*'BMP Removal Rates'!S$41)/100, IF('(STEP 1) Baseline Conditions'!$B$6="Average", ('BMP Suitability 01'!S14*'BMP Removal Rates'!S$42)/100, IF('(STEP 1) Baseline Conditions'!$B$6="Best",('BMP Suitability 01'!S14*'BMP Removal Rates'!S$38)/100)))</f>
        <v>0</v>
      </c>
      <c r="T14" s="110">
        <f>IF('(STEP 1) Baseline Conditions'!$B$6="Poor",('BMP Suitability 01'!T14*'BMP Removal Rates'!T$41)/100, IF('(STEP 1) Baseline Conditions'!$B$6="Average", ('BMP Suitability 01'!T14*'BMP Removal Rates'!T$42)/100, IF('(STEP 1) Baseline Conditions'!$B$6="Best",('BMP Suitability 01'!T14*'BMP Removal Rates'!T$38)/100)))</f>
        <v>0.79749999999999999</v>
      </c>
      <c r="U14" s="110">
        <f>IF('(STEP 1) Baseline Conditions'!$B$6="Poor",('BMP Suitability 01'!U14*'BMP Removal Rates'!U$41)/100, IF('(STEP 1) Baseline Conditions'!$B$6="Average", ('BMP Suitability 01'!U14*'BMP Removal Rates'!U$42)/100, IF('(STEP 1) Baseline Conditions'!$B$6="Best",('BMP Suitability 01'!U14*'BMP Removal Rates'!U$38)/100)))</f>
        <v>0.52500000000000002</v>
      </c>
      <c r="V14" s="110">
        <f>IF('(STEP 1) Baseline Conditions'!$B$6="Poor",('BMP Suitability 01'!V14*'BMP Removal Rates'!V$41)/100, IF('(STEP 1) Baseline Conditions'!$B$6="Average", ('BMP Suitability 01'!V14*'BMP Removal Rates'!V$42)/100, IF('(STEP 1) Baseline Conditions'!$B$6="Best",('BMP Suitability 01'!V14*'BMP Removal Rates'!V$38)/100)))</f>
        <v>0.72750000000000004</v>
      </c>
      <c r="W14" s="110">
        <f>IF('(STEP 1) Baseline Conditions'!$B$6="Poor",('BMP Suitability 01'!W14*'BMP Removal Rates'!W$41)/100, IF('(STEP 1) Baseline Conditions'!$B$6="Average", ('BMP Suitability 01'!W14*'BMP Removal Rates'!W$42)/100, IF('(STEP 1) Baseline Conditions'!$B$6="Best",('BMP Suitability 01'!W14*'BMP Removal Rates'!W$38)/100)))</f>
        <v>0.755</v>
      </c>
      <c r="X14" s="110">
        <f>IF('(STEP 1) Baseline Conditions'!$B$6="Poor",('BMP Suitability 01'!X14*'BMP Removal Rates'!X$41)/100, IF('(STEP 1) Baseline Conditions'!$B$6="Average", ('BMP Suitability 01'!X14*'BMP Removal Rates'!X$42)/100, IF('(STEP 1) Baseline Conditions'!$B$6="Best",('BMP Suitability 01'!X14*'BMP Removal Rates'!X$38)/100)))</f>
        <v>0.85</v>
      </c>
      <c r="Y14" s="110">
        <f>IF('(STEP 1) Baseline Conditions'!$B$6="Poor",('BMP Suitability 01'!Y14*'BMP Removal Rates'!Y$41)/100, IF('(STEP 1) Baseline Conditions'!$B$6="Average", ('BMP Suitability 01'!Y14*'BMP Removal Rates'!Y$42)/100, IF('(STEP 1) Baseline Conditions'!$B$6="Best",('BMP Suitability 01'!Y14*'BMP Removal Rates'!Y$38)/100)))</f>
        <v>0.22</v>
      </c>
      <c r="Z14" s="110">
        <f>IF('(STEP 1) Baseline Conditions'!$B$6="Poor",('BMP Suitability 01'!Z14*'BMP Removal Rates'!Z$41)/100, IF('(STEP 1) Baseline Conditions'!$B$6="Average", ('BMP Suitability 01'!Z14*'BMP Removal Rates'!Z$42)/100, IF('(STEP 1) Baseline Conditions'!$B$6="Best",('BMP Suitability 01'!Z14*'BMP Removal Rates'!Z$38)/100)))</f>
        <v>0.75</v>
      </c>
      <c r="AA14" s="110">
        <f>IF('(STEP 1) Baseline Conditions'!$B$6="Poor",('BMP Suitability 01'!AA14*'BMP Removal Rates'!AA$41)/100, IF('(STEP 1) Baseline Conditions'!$B$6="Average", ('BMP Suitability 01'!AA14*'BMP Removal Rates'!AA$42)/100, IF('(STEP 1) Baseline Conditions'!$B$6="Best",('BMP Suitability 01'!AA14*'BMP Removal Rates'!AA$38)/100)))</f>
        <v>0.71750000000000003</v>
      </c>
      <c r="AB14" s="110">
        <f>IF('(STEP 1) Baseline Conditions'!$B$6="Poor",('BMP Suitability 01'!AB14*'BMP Removal Rates'!AB$41)/100, IF('(STEP 1) Baseline Conditions'!$B$6="Average", ('BMP Suitability 01'!AB14*'BMP Removal Rates'!AB$42)/100, IF('(STEP 1) Baseline Conditions'!$B$6="Best",('BMP Suitability 01'!AB14*'BMP Removal Rates'!AB$38)/100)))</f>
        <v>0</v>
      </c>
      <c r="AC14" s="110">
        <f>IF('(STEP 1) Baseline Conditions'!$B$6="Poor",('BMP Suitability 01'!AC14*'BMP Removal Rates'!AC$41)/100, IF('(STEP 1) Baseline Conditions'!$B$6="Average", ('BMP Suitability 01'!AC14*'BMP Removal Rates'!AC$42)/100, IF('(STEP 1) Baseline Conditions'!$B$6="Best",('BMP Suitability 01'!AC14*'BMP Removal Rates'!AC$38)/100)))</f>
        <v>0</v>
      </c>
    </row>
    <row r="15" spans="1:29" x14ac:dyDescent="0.25">
      <c r="A15" s="3" t="s">
        <v>30</v>
      </c>
      <c r="B15" s="45">
        <f>IF(INDEX('Dosskey Coefficients'!$N$2:$N$20,MATCH('(STEP 1) Baseline Conditions'!$B$14,'Dosskey Coefficients'!$K$2:$K$20,0),0)&lt;0,('BMP Suitability 01'!B15*'BMP Removal Rates'!$B$38)/100, 'BMP Suitability 01'!B15*'BMP Removal Rates'!$B$39/100)</f>
        <v>0</v>
      </c>
      <c r="C15" s="45">
        <f>IF(INDEX('Dosskey Coefficients'!$N$2:$N$20,MATCH('(STEP 1) Baseline Conditions'!$B$14,'Dosskey Coefficients'!$K$2:$K$20,0),0)&lt;0,('BMP Suitability 01'!C15*$C$38)/100, 'BMP Suitability 01'!C15*$C$39/100)</f>
        <v>0</v>
      </c>
      <c r="D15" s="45">
        <f>('BMP Suitability 01'!D15*'BMP Removal Rates'!$D$38)/100</f>
        <v>0.62</v>
      </c>
      <c r="E15" s="45">
        <f>('BMP Suitability 01'!E15*'BMP Removal Rates'!$E$38)/100</f>
        <v>0.38500000000000001</v>
      </c>
      <c r="F15" s="45">
        <f>('BMP Suitability 01'!F15*'BMP Removal Rates'!$F$38)/100</f>
        <v>0.4</v>
      </c>
      <c r="G15" s="45">
        <f>('BMP Suitability 01'!G15*'BMP Removal Rates'!$G$38)/100</f>
        <v>0.75</v>
      </c>
      <c r="H15" s="45">
        <f>('BMP Suitability 01'!H15*'BMP Removal Rates'!$H$38)/100</f>
        <v>0.95</v>
      </c>
      <c r="I15" s="45">
        <f>('BMP Suitability 01'!I15*'BMP Removal Rates'!$I$38)/100</f>
        <v>0.85</v>
      </c>
      <c r="J15" s="45">
        <f>('BMP Suitability 01'!J15*'BMP Removal Rates'!$J$38)/100</f>
        <v>0.9</v>
      </c>
      <c r="K15" s="45">
        <f>('BMP Suitability 01'!K15*'BMP Removal Rates'!$K$38)/100</f>
        <v>0.75</v>
      </c>
      <c r="L15" s="45">
        <f>('BMP Suitability 01'!L15*'BMP Removal Rates'!$L$38)/100</f>
        <v>0</v>
      </c>
      <c r="M15" s="45">
        <f>('BMP Suitability 01'!M15*'BMP Removal Rates'!$M$38)/100</f>
        <v>0</v>
      </c>
      <c r="N15" s="110">
        <f>IF('(STEP 1) Baseline Conditions'!$B$6="Poor",('BMP Suitability 01'!N15*'BMP Removal Rates'!N$41)/100, IF('(STEP 1) Baseline Conditions'!$B$6="Average", ('BMP Suitability 01'!N15*'BMP Removal Rates'!N$42)/100, IF('(STEP 1) Baseline Conditions'!$B$6="Best",('BMP Suitability 01'!N15*'BMP Removal Rates'!N$38)/100)))</f>
        <v>0.82</v>
      </c>
      <c r="O15" s="110">
        <f>IF('(STEP 1) Baseline Conditions'!$B$6="Poor",('BMP Suitability 01'!O15*'BMP Removal Rates'!O$41)/100, IF('(STEP 1) Baseline Conditions'!$B$6="Average", ('BMP Suitability 01'!O15*'BMP Removal Rates'!O$42)/100, IF('(STEP 1) Baseline Conditions'!$B$6="Best",('BMP Suitability 01'!O15*'BMP Removal Rates'!O$38)/100)))</f>
        <v>0.21</v>
      </c>
      <c r="P15" s="110">
        <f>IF('(STEP 1) Baseline Conditions'!$B$6="Poor",('BMP Suitability 01'!P15*'BMP Removal Rates'!P$41)/100, IF('(STEP 1) Baseline Conditions'!$B$6="Average", ('BMP Suitability 01'!P15*'BMP Removal Rates'!P$42)/100, IF('(STEP 1) Baseline Conditions'!$B$6="Best",('BMP Suitability 01'!P15*'BMP Removal Rates'!P$38)/100)))</f>
        <v>0</v>
      </c>
      <c r="Q15" s="110">
        <f>IF('(STEP 1) Baseline Conditions'!$B$6="Poor",('BMP Suitability 01'!Q15*'BMP Removal Rates'!Q$41)/100, IF('(STEP 1) Baseline Conditions'!$B$6="Average", ('BMP Suitability 01'!Q15*'BMP Removal Rates'!Q$42)/100, IF('(STEP 1) Baseline Conditions'!$B$6="Best",('BMP Suitability 01'!Q15*'BMP Removal Rates'!Q$38)/100)))</f>
        <v>0</v>
      </c>
      <c r="R15" s="110">
        <f>IF('(STEP 1) Baseline Conditions'!$B$6="Poor",('BMP Suitability 01'!R15*'BMP Removal Rates'!R$41)/100, IF('(STEP 1) Baseline Conditions'!$B$6="Average", ('BMP Suitability 01'!R15*'BMP Removal Rates'!R$42)/100, IF('(STEP 1) Baseline Conditions'!$B$6="Best",('BMP Suitability 01'!R15*'BMP Removal Rates'!R$38)/100)))</f>
        <v>0</v>
      </c>
      <c r="S15" s="110">
        <f>IF('(STEP 1) Baseline Conditions'!$B$6="Poor",('BMP Suitability 01'!S15*'BMP Removal Rates'!S$41)/100, IF('(STEP 1) Baseline Conditions'!$B$6="Average", ('BMP Suitability 01'!S15*'BMP Removal Rates'!S$42)/100, IF('(STEP 1) Baseline Conditions'!$B$6="Best",('BMP Suitability 01'!S15*'BMP Removal Rates'!S$38)/100)))</f>
        <v>0</v>
      </c>
      <c r="T15" s="110">
        <f>IF('(STEP 1) Baseline Conditions'!$B$6="Poor",('BMP Suitability 01'!T15*'BMP Removal Rates'!T$41)/100, IF('(STEP 1) Baseline Conditions'!$B$6="Average", ('BMP Suitability 01'!T15*'BMP Removal Rates'!T$42)/100, IF('(STEP 1) Baseline Conditions'!$B$6="Best",('BMP Suitability 01'!T15*'BMP Removal Rates'!T$38)/100)))</f>
        <v>0.79749999999999999</v>
      </c>
      <c r="U15" s="110">
        <f>IF('(STEP 1) Baseline Conditions'!$B$6="Poor",('BMP Suitability 01'!U15*'BMP Removal Rates'!U$41)/100, IF('(STEP 1) Baseline Conditions'!$B$6="Average", ('BMP Suitability 01'!U15*'BMP Removal Rates'!U$42)/100, IF('(STEP 1) Baseline Conditions'!$B$6="Best",('BMP Suitability 01'!U15*'BMP Removal Rates'!U$38)/100)))</f>
        <v>0.52500000000000002</v>
      </c>
      <c r="V15" s="110">
        <f>IF('(STEP 1) Baseline Conditions'!$B$6="Poor",('BMP Suitability 01'!V15*'BMP Removal Rates'!V$41)/100, IF('(STEP 1) Baseline Conditions'!$B$6="Average", ('BMP Suitability 01'!V15*'BMP Removal Rates'!V$42)/100, IF('(STEP 1) Baseline Conditions'!$B$6="Best",('BMP Suitability 01'!V15*'BMP Removal Rates'!V$38)/100)))</f>
        <v>0.72750000000000004</v>
      </c>
      <c r="W15" s="110">
        <f>IF('(STEP 1) Baseline Conditions'!$B$6="Poor",('BMP Suitability 01'!W15*'BMP Removal Rates'!W$41)/100, IF('(STEP 1) Baseline Conditions'!$B$6="Average", ('BMP Suitability 01'!W15*'BMP Removal Rates'!W$42)/100, IF('(STEP 1) Baseline Conditions'!$B$6="Best",('BMP Suitability 01'!W15*'BMP Removal Rates'!W$38)/100)))</f>
        <v>0.755</v>
      </c>
      <c r="X15" s="110">
        <f>IF('(STEP 1) Baseline Conditions'!$B$6="Poor",('BMP Suitability 01'!X15*'BMP Removal Rates'!X$41)/100, IF('(STEP 1) Baseline Conditions'!$B$6="Average", ('BMP Suitability 01'!X15*'BMP Removal Rates'!X$42)/100, IF('(STEP 1) Baseline Conditions'!$B$6="Best",('BMP Suitability 01'!X15*'BMP Removal Rates'!X$38)/100)))</f>
        <v>0</v>
      </c>
      <c r="Y15" s="110">
        <f>IF('(STEP 1) Baseline Conditions'!$B$6="Poor",('BMP Suitability 01'!Y15*'BMP Removal Rates'!Y$41)/100, IF('(STEP 1) Baseline Conditions'!$B$6="Average", ('BMP Suitability 01'!Y15*'BMP Removal Rates'!Y$42)/100, IF('(STEP 1) Baseline Conditions'!$B$6="Best",('BMP Suitability 01'!Y15*'BMP Removal Rates'!Y$38)/100)))</f>
        <v>0</v>
      </c>
      <c r="Z15" s="110">
        <f>IF('(STEP 1) Baseline Conditions'!$B$6="Poor",('BMP Suitability 01'!Z15*'BMP Removal Rates'!Z$41)/100, IF('(STEP 1) Baseline Conditions'!$B$6="Average", ('BMP Suitability 01'!Z15*'BMP Removal Rates'!Z$42)/100, IF('(STEP 1) Baseline Conditions'!$B$6="Best",('BMP Suitability 01'!Z15*'BMP Removal Rates'!Z$38)/100)))</f>
        <v>0.75</v>
      </c>
      <c r="AA15" s="110">
        <f>IF('(STEP 1) Baseline Conditions'!$B$6="Poor",('BMP Suitability 01'!AA15*'BMP Removal Rates'!AA$41)/100, IF('(STEP 1) Baseline Conditions'!$B$6="Average", ('BMP Suitability 01'!AA15*'BMP Removal Rates'!AA$42)/100, IF('(STEP 1) Baseline Conditions'!$B$6="Best",('BMP Suitability 01'!AA15*'BMP Removal Rates'!AA$38)/100)))</f>
        <v>0.71750000000000003</v>
      </c>
      <c r="AB15" s="110">
        <f>IF('(STEP 1) Baseline Conditions'!$B$6="Poor",('BMP Suitability 01'!AB15*'BMP Removal Rates'!AB$41)/100, IF('(STEP 1) Baseline Conditions'!$B$6="Average", ('BMP Suitability 01'!AB15*'BMP Removal Rates'!AB$42)/100, IF('(STEP 1) Baseline Conditions'!$B$6="Best",('BMP Suitability 01'!AB15*'BMP Removal Rates'!AB$38)/100)))</f>
        <v>0</v>
      </c>
      <c r="AC15" s="110">
        <f>IF('(STEP 1) Baseline Conditions'!$B$6="Poor",('BMP Suitability 01'!AC15*'BMP Removal Rates'!AC$41)/100, IF('(STEP 1) Baseline Conditions'!$B$6="Average", ('BMP Suitability 01'!AC15*'BMP Removal Rates'!AC$42)/100, IF('(STEP 1) Baseline Conditions'!$B$6="Best",('BMP Suitability 01'!AC15*'BMP Removal Rates'!AC$38)/100)))</f>
        <v>0</v>
      </c>
    </row>
    <row r="16" spans="1:29" x14ac:dyDescent="0.25">
      <c r="A16" s="3" t="s">
        <v>90</v>
      </c>
      <c r="B16" s="45">
        <f>IF(INDEX('Dosskey Coefficients'!$N$2:$N$20,MATCH('(STEP 1) Baseline Conditions'!$B$14,'Dosskey Coefficients'!$K$2:$K$20,0),0)&lt;0,('BMP Suitability 01'!B16*'BMP Removal Rates'!$B$38)/100, 'BMP Suitability 01'!B16*'BMP Removal Rates'!$B$39/100)</f>
        <v>0</v>
      </c>
      <c r="C16" s="45">
        <f>IF(INDEX('Dosskey Coefficients'!$N$2:$N$20,MATCH('(STEP 1) Baseline Conditions'!$B$14,'Dosskey Coefficients'!$K$2:$K$20,0),0)&lt;0,('BMP Suitability 01'!C16*$C$38)/100, 'BMP Suitability 01'!C16*$C$39/100)</f>
        <v>0</v>
      </c>
      <c r="D16" s="45">
        <f>('BMP Suitability 01'!D16*'BMP Removal Rates'!$D$38)/100</f>
        <v>0.62</v>
      </c>
      <c r="E16" s="45">
        <f>('BMP Suitability 01'!E16*'BMP Removal Rates'!$E$38)/100</f>
        <v>0.38500000000000001</v>
      </c>
      <c r="F16" s="45">
        <f>('BMP Suitability 01'!F16*'BMP Removal Rates'!$F$38)/100</f>
        <v>0.4</v>
      </c>
      <c r="G16" s="45">
        <f>('BMP Suitability 01'!G16*'BMP Removal Rates'!$G$38)/100</f>
        <v>0.75</v>
      </c>
      <c r="H16" s="45">
        <f>('BMP Suitability 01'!H16*'BMP Removal Rates'!$H$38)/100</f>
        <v>0</v>
      </c>
      <c r="I16" s="45">
        <f>('BMP Suitability 01'!I16*'BMP Removal Rates'!$I$38)/100</f>
        <v>0</v>
      </c>
      <c r="J16" s="45">
        <f>('BMP Suitability 01'!J16*'BMP Removal Rates'!$J$38)/100</f>
        <v>0.9</v>
      </c>
      <c r="K16" s="45">
        <f>('BMP Suitability 01'!K16*'BMP Removal Rates'!$K$38)/100</f>
        <v>0.75</v>
      </c>
      <c r="L16" s="45">
        <f>('BMP Suitability 01'!L16*'BMP Removal Rates'!$L$38)/100</f>
        <v>0</v>
      </c>
      <c r="M16" s="45">
        <f>('BMP Suitability 01'!M16*'BMP Removal Rates'!$M$38)/100</f>
        <v>0</v>
      </c>
      <c r="N16" s="110">
        <f>IF('(STEP 1) Baseline Conditions'!$B$6="Poor",('BMP Suitability 01'!N16*'BMP Removal Rates'!N$41)/100, IF('(STEP 1) Baseline Conditions'!$B$6="Average", ('BMP Suitability 01'!N16*'BMP Removal Rates'!N$42)/100, IF('(STEP 1) Baseline Conditions'!$B$6="Best",('BMP Suitability 01'!N16*'BMP Removal Rates'!N$38)/100)))</f>
        <v>0</v>
      </c>
      <c r="O16" s="110">
        <f>IF('(STEP 1) Baseline Conditions'!$B$6="Poor",('BMP Suitability 01'!O16*'BMP Removal Rates'!O$41)/100, IF('(STEP 1) Baseline Conditions'!$B$6="Average", ('BMP Suitability 01'!O16*'BMP Removal Rates'!O$42)/100, IF('(STEP 1) Baseline Conditions'!$B$6="Best",('BMP Suitability 01'!O16*'BMP Removal Rates'!O$38)/100)))</f>
        <v>0</v>
      </c>
      <c r="P16" s="110">
        <f>IF('(STEP 1) Baseline Conditions'!$B$6="Poor",('BMP Suitability 01'!P16*'BMP Removal Rates'!P$41)/100, IF('(STEP 1) Baseline Conditions'!$B$6="Average", ('BMP Suitability 01'!P16*'BMP Removal Rates'!P$42)/100, IF('(STEP 1) Baseline Conditions'!$B$6="Best",('BMP Suitability 01'!P16*'BMP Removal Rates'!P$38)/100)))</f>
        <v>0</v>
      </c>
      <c r="Q16" s="110">
        <f>IF('(STEP 1) Baseline Conditions'!$B$6="Poor",('BMP Suitability 01'!Q16*'BMP Removal Rates'!Q$41)/100, IF('(STEP 1) Baseline Conditions'!$B$6="Average", ('BMP Suitability 01'!Q16*'BMP Removal Rates'!Q$42)/100, IF('(STEP 1) Baseline Conditions'!$B$6="Best",('BMP Suitability 01'!Q16*'BMP Removal Rates'!Q$38)/100)))</f>
        <v>0</v>
      </c>
      <c r="R16" s="110">
        <f>IF('(STEP 1) Baseline Conditions'!$B$6="Poor",('BMP Suitability 01'!R16*'BMP Removal Rates'!R$41)/100, IF('(STEP 1) Baseline Conditions'!$B$6="Average", ('BMP Suitability 01'!R16*'BMP Removal Rates'!R$42)/100, IF('(STEP 1) Baseline Conditions'!$B$6="Best",('BMP Suitability 01'!R16*'BMP Removal Rates'!R$38)/100)))</f>
        <v>0</v>
      </c>
      <c r="S16" s="110">
        <f>IF('(STEP 1) Baseline Conditions'!$B$6="Poor",('BMP Suitability 01'!S16*'BMP Removal Rates'!S$41)/100, IF('(STEP 1) Baseline Conditions'!$B$6="Average", ('BMP Suitability 01'!S16*'BMP Removal Rates'!S$42)/100, IF('(STEP 1) Baseline Conditions'!$B$6="Best",('BMP Suitability 01'!S16*'BMP Removal Rates'!S$38)/100)))</f>
        <v>0</v>
      </c>
      <c r="T16" s="110">
        <f>IF('(STEP 1) Baseline Conditions'!$B$6="Poor",('BMP Suitability 01'!T16*'BMP Removal Rates'!T$41)/100, IF('(STEP 1) Baseline Conditions'!$B$6="Average", ('BMP Suitability 01'!T16*'BMP Removal Rates'!T$42)/100, IF('(STEP 1) Baseline Conditions'!$B$6="Best",('BMP Suitability 01'!T16*'BMP Removal Rates'!T$38)/100)))</f>
        <v>0.79749999999999999</v>
      </c>
      <c r="U16" s="110">
        <f>IF('(STEP 1) Baseline Conditions'!$B$6="Poor",('BMP Suitability 01'!U16*'BMP Removal Rates'!U$41)/100, IF('(STEP 1) Baseline Conditions'!$B$6="Average", ('BMP Suitability 01'!U16*'BMP Removal Rates'!U$42)/100, IF('(STEP 1) Baseline Conditions'!$B$6="Best",('BMP Suitability 01'!U16*'BMP Removal Rates'!U$38)/100)))</f>
        <v>0.52500000000000002</v>
      </c>
      <c r="V16" s="110">
        <f>IF('(STEP 1) Baseline Conditions'!$B$6="Poor",('BMP Suitability 01'!V16*'BMP Removal Rates'!V$41)/100, IF('(STEP 1) Baseline Conditions'!$B$6="Average", ('BMP Suitability 01'!V16*'BMP Removal Rates'!V$42)/100, IF('(STEP 1) Baseline Conditions'!$B$6="Best",('BMP Suitability 01'!V16*'BMP Removal Rates'!V$38)/100)))</f>
        <v>0</v>
      </c>
      <c r="W16" s="110">
        <f>IF('(STEP 1) Baseline Conditions'!$B$6="Poor",('BMP Suitability 01'!W16*'BMP Removal Rates'!W$41)/100, IF('(STEP 1) Baseline Conditions'!$B$6="Average", ('BMP Suitability 01'!W16*'BMP Removal Rates'!W$42)/100, IF('(STEP 1) Baseline Conditions'!$B$6="Best",('BMP Suitability 01'!W16*'BMP Removal Rates'!W$38)/100)))</f>
        <v>0</v>
      </c>
      <c r="X16" s="110">
        <f>IF('(STEP 1) Baseline Conditions'!$B$6="Poor",('BMP Suitability 01'!X16*'BMP Removal Rates'!X$41)/100, IF('(STEP 1) Baseline Conditions'!$B$6="Average", ('BMP Suitability 01'!X16*'BMP Removal Rates'!X$42)/100, IF('(STEP 1) Baseline Conditions'!$B$6="Best",('BMP Suitability 01'!X16*'BMP Removal Rates'!X$38)/100)))</f>
        <v>0</v>
      </c>
      <c r="Y16" s="110">
        <f>IF('(STEP 1) Baseline Conditions'!$B$6="Poor",('BMP Suitability 01'!Y16*'BMP Removal Rates'!Y$41)/100, IF('(STEP 1) Baseline Conditions'!$B$6="Average", ('BMP Suitability 01'!Y16*'BMP Removal Rates'!Y$42)/100, IF('(STEP 1) Baseline Conditions'!$B$6="Best",('BMP Suitability 01'!Y16*'BMP Removal Rates'!Y$38)/100)))</f>
        <v>0</v>
      </c>
      <c r="Z16" s="110">
        <f>IF('(STEP 1) Baseline Conditions'!$B$6="Poor",('BMP Suitability 01'!Z16*'BMP Removal Rates'!Z$41)/100, IF('(STEP 1) Baseline Conditions'!$B$6="Average", ('BMP Suitability 01'!Z16*'BMP Removal Rates'!Z$42)/100, IF('(STEP 1) Baseline Conditions'!$B$6="Best",('BMP Suitability 01'!Z16*'BMP Removal Rates'!Z$38)/100)))</f>
        <v>0.75</v>
      </c>
      <c r="AA16" s="110">
        <f>IF('(STEP 1) Baseline Conditions'!$B$6="Poor",('BMP Suitability 01'!AA16*'BMP Removal Rates'!AA$41)/100, IF('(STEP 1) Baseline Conditions'!$B$6="Average", ('BMP Suitability 01'!AA16*'BMP Removal Rates'!AA$42)/100, IF('(STEP 1) Baseline Conditions'!$B$6="Best",('BMP Suitability 01'!AA16*'BMP Removal Rates'!AA$38)/100)))</f>
        <v>0.71750000000000003</v>
      </c>
      <c r="AB16" s="110">
        <f>IF('(STEP 1) Baseline Conditions'!$B$6="Poor",('BMP Suitability 01'!AB16*'BMP Removal Rates'!AB$41)/100, IF('(STEP 1) Baseline Conditions'!$B$6="Average", ('BMP Suitability 01'!AB16*'BMP Removal Rates'!AB$42)/100, IF('(STEP 1) Baseline Conditions'!$B$6="Best",('BMP Suitability 01'!AB16*'BMP Removal Rates'!AB$38)/100)))</f>
        <v>0</v>
      </c>
      <c r="AC16" s="110">
        <f>IF('(STEP 1) Baseline Conditions'!$B$6="Poor",('BMP Suitability 01'!AC16*'BMP Removal Rates'!AC$41)/100, IF('(STEP 1) Baseline Conditions'!$B$6="Average", ('BMP Suitability 01'!AC16*'BMP Removal Rates'!AC$42)/100, IF('(STEP 1) Baseline Conditions'!$B$6="Best",('BMP Suitability 01'!AC16*'BMP Removal Rates'!AC$38)/100)))</f>
        <v>0</v>
      </c>
    </row>
    <row r="17" spans="1:29" x14ac:dyDescent="0.25">
      <c r="A17" s="3" t="s">
        <v>91</v>
      </c>
      <c r="B17" s="45">
        <f>IF(INDEX('Dosskey Coefficients'!$N$2:$N$20,MATCH('(STEP 1) Baseline Conditions'!$B$14,'Dosskey Coefficients'!$K$2:$K$20,0),0)&lt;0,('BMP Suitability 01'!B17*'BMP Removal Rates'!$B$38)/100, 'BMP Suitability 01'!B17*'BMP Removal Rates'!$B$39/100)</f>
        <v>0</v>
      </c>
      <c r="C17" s="45">
        <f>IF(INDEX('Dosskey Coefficients'!$N$2:$N$20,MATCH('(STEP 1) Baseline Conditions'!$B$14,'Dosskey Coefficients'!$K$2:$K$20,0),0)&lt;0,('BMP Suitability 01'!C17*$C$38)/100, 'BMP Suitability 01'!C17*$C$39/100)</f>
        <v>0</v>
      </c>
      <c r="D17" s="45">
        <f>('BMP Suitability 01'!D17*'BMP Removal Rates'!$D$38)/100</f>
        <v>0.62</v>
      </c>
      <c r="E17" s="45">
        <f>('BMP Suitability 01'!E17*'BMP Removal Rates'!$E$38)/100</f>
        <v>0.38500000000000001</v>
      </c>
      <c r="F17" s="45">
        <f>('BMP Suitability 01'!F17*'BMP Removal Rates'!$F$38)/100</f>
        <v>0.4</v>
      </c>
      <c r="G17" s="45">
        <f>('BMP Suitability 01'!G17*'BMP Removal Rates'!$G$38)/100</f>
        <v>0.75</v>
      </c>
      <c r="H17" s="45">
        <f>('BMP Suitability 01'!H17*'BMP Removal Rates'!$H$38)/100</f>
        <v>0.95</v>
      </c>
      <c r="I17" s="45">
        <f>('BMP Suitability 01'!I17*'BMP Removal Rates'!$I$38)/100</f>
        <v>0.85</v>
      </c>
      <c r="J17" s="45">
        <f>('BMP Suitability 01'!J17*'BMP Removal Rates'!$J$38)/100</f>
        <v>0.9</v>
      </c>
      <c r="K17" s="45">
        <f>('BMP Suitability 01'!K17*'BMP Removal Rates'!$K$38)/100</f>
        <v>0.75</v>
      </c>
      <c r="L17" s="45">
        <f>('BMP Suitability 01'!L17*'BMP Removal Rates'!$L$38)/100</f>
        <v>0</v>
      </c>
      <c r="M17" s="45">
        <f>('BMP Suitability 01'!M17*'BMP Removal Rates'!$M$38)/100</f>
        <v>0</v>
      </c>
      <c r="N17" s="110">
        <f>IF('(STEP 1) Baseline Conditions'!$B$6="Poor",('BMP Suitability 01'!N17*'BMP Removal Rates'!N$41)/100, IF('(STEP 1) Baseline Conditions'!$B$6="Average", ('BMP Suitability 01'!N17*'BMP Removal Rates'!N$42)/100, IF('(STEP 1) Baseline Conditions'!$B$6="Best",('BMP Suitability 01'!N17*'BMP Removal Rates'!N$38)/100)))</f>
        <v>0</v>
      </c>
      <c r="O17" s="110">
        <f>IF('(STEP 1) Baseline Conditions'!$B$6="Poor",('BMP Suitability 01'!O17*'BMP Removal Rates'!O$41)/100, IF('(STEP 1) Baseline Conditions'!$B$6="Average", ('BMP Suitability 01'!O17*'BMP Removal Rates'!O$42)/100, IF('(STEP 1) Baseline Conditions'!$B$6="Best",('BMP Suitability 01'!O17*'BMP Removal Rates'!O$38)/100)))</f>
        <v>0</v>
      </c>
      <c r="P17" s="110">
        <f>IF('(STEP 1) Baseline Conditions'!$B$6="Poor",('BMP Suitability 01'!P17*'BMP Removal Rates'!P$41)/100, IF('(STEP 1) Baseline Conditions'!$B$6="Average", ('BMP Suitability 01'!P17*'BMP Removal Rates'!P$42)/100, IF('(STEP 1) Baseline Conditions'!$B$6="Best",('BMP Suitability 01'!P17*'BMP Removal Rates'!P$38)/100)))</f>
        <v>0</v>
      </c>
      <c r="Q17" s="110">
        <f>IF('(STEP 1) Baseline Conditions'!$B$6="Poor",('BMP Suitability 01'!Q17*'BMP Removal Rates'!Q$41)/100, IF('(STEP 1) Baseline Conditions'!$B$6="Average", ('BMP Suitability 01'!Q17*'BMP Removal Rates'!Q$42)/100, IF('(STEP 1) Baseline Conditions'!$B$6="Best",('BMP Suitability 01'!Q17*'BMP Removal Rates'!Q$38)/100)))</f>
        <v>0</v>
      </c>
      <c r="R17" s="110">
        <f>IF('(STEP 1) Baseline Conditions'!$B$6="Poor",('BMP Suitability 01'!R17*'BMP Removal Rates'!R$41)/100, IF('(STEP 1) Baseline Conditions'!$B$6="Average", ('BMP Suitability 01'!R17*'BMP Removal Rates'!R$42)/100, IF('(STEP 1) Baseline Conditions'!$B$6="Best",('BMP Suitability 01'!R17*'BMP Removal Rates'!R$38)/100)))</f>
        <v>0</v>
      </c>
      <c r="S17" s="110">
        <f>IF('(STEP 1) Baseline Conditions'!$B$6="Poor",('BMP Suitability 01'!S17*'BMP Removal Rates'!S$41)/100, IF('(STEP 1) Baseline Conditions'!$B$6="Average", ('BMP Suitability 01'!S17*'BMP Removal Rates'!S$42)/100, IF('(STEP 1) Baseline Conditions'!$B$6="Best",('BMP Suitability 01'!S17*'BMP Removal Rates'!S$38)/100)))</f>
        <v>0</v>
      </c>
      <c r="T17" s="110">
        <f>IF('(STEP 1) Baseline Conditions'!$B$6="Poor",('BMP Suitability 01'!T17*'BMP Removal Rates'!T$41)/100, IF('(STEP 1) Baseline Conditions'!$B$6="Average", ('BMP Suitability 01'!T17*'BMP Removal Rates'!T$42)/100, IF('(STEP 1) Baseline Conditions'!$B$6="Best",('BMP Suitability 01'!T17*'BMP Removal Rates'!T$38)/100)))</f>
        <v>0.79749999999999999</v>
      </c>
      <c r="U17" s="110">
        <f>IF('(STEP 1) Baseline Conditions'!$B$6="Poor",('BMP Suitability 01'!U17*'BMP Removal Rates'!U$41)/100, IF('(STEP 1) Baseline Conditions'!$B$6="Average", ('BMP Suitability 01'!U17*'BMP Removal Rates'!U$42)/100, IF('(STEP 1) Baseline Conditions'!$B$6="Best",('BMP Suitability 01'!U17*'BMP Removal Rates'!U$38)/100)))</f>
        <v>0.52500000000000002</v>
      </c>
      <c r="V17" s="110">
        <f>IF('(STEP 1) Baseline Conditions'!$B$6="Poor",('BMP Suitability 01'!V17*'BMP Removal Rates'!V$41)/100, IF('(STEP 1) Baseline Conditions'!$B$6="Average", ('BMP Suitability 01'!V17*'BMP Removal Rates'!V$42)/100, IF('(STEP 1) Baseline Conditions'!$B$6="Best",('BMP Suitability 01'!V17*'BMP Removal Rates'!V$38)/100)))</f>
        <v>0</v>
      </c>
      <c r="W17" s="110">
        <f>IF('(STEP 1) Baseline Conditions'!$B$6="Poor",('BMP Suitability 01'!W17*'BMP Removal Rates'!W$41)/100, IF('(STEP 1) Baseline Conditions'!$B$6="Average", ('BMP Suitability 01'!W17*'BMP Removal Rates'!W$42)/100, IF('(STEP 1) Baseline Conditions'!$B$6="Best",('BMP Suitability 01'!W17*'BMP Removal Rates'!W$38)/100)))</f>
        <v>0</v>
      </c>
      <c r="X17" s="110">
        <f>IF('(STEP 1) Baseline Conditions'!$B$6="Poor",('BMP Suitability 01'!X17*'BMP Removal Rates'!X$41)/100, IF('(STEP 1) Baseline Conditions'!$B$6="Average", ('BMP Suitability 01'!X17*'BMP Removal Rates'!X$42)/100, IF('(STEP 1) Baseline Conditions'!$B$6="Best",('BMP Suitability 01'!X17*'BMP Removal Rates'!X$38)/100)))</f>
        <v>0.85</v>
      </c>
      <c r="Y17" s="110">
        <f>IF('(STEP 1) Baseline Conditions'!$B$6="Poor",('BMP Suitability 01'!Y17*'BMP Removal Rates'!Y$41)/100, IF('(STEP 1) Baseline Conditions'!$B$6="Average", ('BMP Suitability 01'!Y17*'BMP Removal Rates'!Y$42)/100, IF('(STEP 1) Baseline Conditions'!$B$6="Best",('BMP Suitability 01'!Y17*'BMP Removal Rates'!Y$38)/100)))</f>
        <v>0.22</v>
      </c>
      <c r="Z17" s="110">
        <f>IF('(STEP 1) Baseline Conditions'!$B$6="Poor",('BMP Suitability 01'!Z17*'BMP Removal Rates'!Z$41)/100, IF('(STEP 1) Baseline Conditions'!$B$6="Average", ('BMP Suitability 01'!Z17*'BMP Removal Rates'!Z$42)/100, IF('(STEP 1) Baseline Conditions'!$B$6="Best",('BMP Suitability 01'!Z17*'BMP Removal Rates'!Z$38)/100)))</f>
        <v>0.75</v>
      </c>
      <c r="AA17" s="110">
        <f>IF('(STEP 1) Baseline Conditions'!$B$6="Poor",('BMP Suitability 01'!AA17*'BMP Removal Rates'!AA$41)/100, IF('(STEP 1) Baseline Conditions'!$B$6="Average", ('BMP Suitability 01'!AA17*'BMP Removal Rates'!AA$42)/100, IF('(STEP 1) Baseline Conditions'!$B$6="Best",('BMP Suitability 01'!AA17*'BMP Removal Rates'!AA$38)/100)))</f>
        <v>0.71750000000000003</v>
      </c>
      <c r="AB17" s="110">
        <f>IF('(STEP 1) Baseline Conditions'!$B$6="Poor",('BMP Suitability 01'!AB17*'BMP Removal Rates'!AB$41)/100, IF('(STEP 1) Baseline Conditions'!$B$6="Average", ('BMP Suitability 01'!AB17*'BMP Removal Rates'!AB$42)/100, IF('(STEP 1) Baseline Conditions'!$B$6="Best",('BMP Suitability 01'!AB17*'BMP Removal Rates'!AB$38)/100)))</f>
        <v>0.55437499999999995</v>
      </c>
      <c r="AC17" s="110">
        <f>IF('(STEP 1) Baseline Conditions'!$B$6="Poor",('BMP Suitability 01'!AC17*'BMP Removal Rates'!AC$41)/100, IF('(STEP 1) Baseline Conditions'!$B$6="Average", ('BMP Suitability 01'!AC17*'BMP Removal Rates'!AC$42)/100, IF('(STEP 1) Baseline Conditions'!$B$6="Best",('BMP Suitability 01'!AC17*'BMP Removal Rates'!AC$38)/100)))</f>
        <v>0.62</v>
      </c>
    </row>
    <row r="18" spans="1:29" x14ac:dyDescent="0.25">
      <c r="A18" s="3" t="s">
        <v>33</v>
      </c>
      <c r="B18" s="45">
        <f>IF(INDEX('Dosskey Coefficients'!$N$2:$N$20,MATCH('(STEP 1) Baseline Conditions'!$B$14,'Dosskey Coefficients'!$K$2:$K$20,0),0)&lt;0,('BMP Suitability 01'!B18*'BMP Removal Rates'!$B$38)/100, 'BMP Suitability 01'!B18*'BMP Removal Rates'!$B$39/100)</f>
        <v>0.87</v>
      </c>
      <c r="C18" s="45">
        <f>IF(INDEX('Dosskey Coefficients'!$N$2:$N$20,MATCH('(STEP 1) Baseline Conditions'!$B$14,'Dosskey Coefficients'!$K$2:$K$20,0),0)&lt;0,('BMP Suitability 01'!C18*$C$38)/100, 'BMP Suitability 01'!C18*$C$39/100)</f>
        <v>0.64500000000000002</v>
      </c>
      <c r="D18" s="45">
        <f>('BMP Suitability 01'!D18*'BMP Removal Rates'!$D$38)/100</f>
        <v>0.62</v>
      </c>
      <c r="E18" s="45">
        <f>('BMP Suitability 01'!E18*'BMP Removal Rates'!$E$38)/100</f>
        <v>0.38500000000000001</v>
      </c>
      <c r="F18" s="45">
        <f>('BMP Suitability 01'!F18*'BMP Removal Rates'!$F$38)/100</f>
        <v>0.4</v>
      </c>
      <c r="G18" s="45">
        <f>('BMP Suitability 01'!G18*'BMP Removal Rates'!$G$38)/100</f>
        <v>0.75</v>
      </c>
      <c r="H18" s="45">
        <f>('BMP Suitability 01'!H18*'BMP Removal Rates'!$H$38)/100</f>
        <v>0.95</v>
      </c>
      <c r="I18" s="45">
        <f>('BMP Suitability 01'!I18*'BMP Removal Rates'!$I$38)/100</f>
        <v>0.85</v>
      </c>
      <c r="J18" s="45">
        <f>('BMP Suitability 01'!J18*'BMP Removal Rates'!$J$38)/100</f>
        <v>0.9</v>
      </c>
      <c r="K18" s="45">
        <f>('BMP Suitability 01'!K18*'BMP Removal Rates'!$K$38)/100</f>
        <v>0.75</v>
      </c>
      <c r="L18" s="45">
        <f>('BMP Suitability 01'!L18*'BMP Removal Rates'!$L$38)/100</f>
        <v>0.69</v>
      </c>
      <c r="M18" s="45">
        <f>('BMP Suitability 01'!M18*'BMP Removal Rates'!$M$38)/100</f>
        <v>0.77500000000000002</v>
      </c>
      <c r="N18" s="110">
        <f>IF('(STEP 1) Baseline Conditions'!$B$6="Poor",('BMP Suitability 01'!N18*'BMP Removal Rates'!N$41)/100, IF('(STEP 1) Baseline Conditions'!$B$6="Average", ('BMP Suitability 01'!N18*'BMP Removal Rates'!N$42)/100, IF('(STEP 1) Baseline Conditions'!$B$6="Best",('BMP Suitability 01'!N18*'BMP Removal Rates'!N$38)/100)))</f>
        <v>0.82</v>
      </c>
      <c r="O18" s="110">
        <f>IF('(STEP 1) Baseline Conditions'!$B$6="Poor",('BMP Suitability 01'!O18*'BMP Removal Rates'!O$41)/100, IF('(STEP 1) Baseline Conditions'!$B$6="Average", ('BMP Suitability 01'!O18*'BMP Removal Rates'!O$42)/100, IF('(STEP 1) Baseline Conditions'!$B$6="Best",('BMP Suitability 01'!O18*'BMP Removal Rates'!O$38)/100)))</f>
        <v>0.21</v>
      </c>
      <c r="P18" s="110">
        <f>IF('(STEP 1) Baseline Conditions'!$B$6="Poor",('BMP Suitability 01'!P18*'BMP Removal Rates'!P$41)/100, IF('(STEP 1) Baseline Conditions'!$B$6="Average", ('BMP Suitability 01'!P18*'BMP Removal Rates'!P$42)/100, IF('(STEP 1) Baseline Conditions'!$B$6="Best",('BMP Suitability 01'!P18*'BMP Removal Rates'!P$38)/100)))</f>
        <v>0.83750000000000002</v>
      </c>
      <c r="Q18" s="110">
        <f>IF('(STEP 1) Baseline Conditions'!$B$6="Poor",('BMP Suitability 01'!Q18*'BMP Removal Rates'!Q$41)/100, IF('(STEP 1) Baseline Conditions'!$B$6="Average", ('BMP Suitability 01'!Q18*'BMP Removal Rates'!Q$42)/100, IF('(STEP 1) Baseline Conditions'!$B$6="Best",('BMP Suitability 01'!Q18*'BMP Removal Rates'!Q$38)/100)))</f>
        <v>0.73750000000000004</v>
      </c>
      <c r="R18" s="110">
        <f>IF('(STEP 1) Baseline Conditions'!$B$6="Poor",('BMP Suitability 01'!R18*'BMP Removal Rates'!R$41)/100, IF('(STEP 1) Baseline Conditions'!$B$6="Average", ('BMP Suitability 01'!R18*'BMP Removal Rates'!R$42)/100, IF('(STEP 1) Baseline Conditions'!$B$6="Best",('BMP Suitability 01'!R18*'BMP Removal Rates'!R$38)/100)))</f>
        <v>0</v>
      </c>
      <c r="S18" s="110">
        <f>IF('(STEP 1) Baseline Conditions'!$B$6="Poor",('BMP Suitability 01'!S18*'BMP Removal Rates'!S$41)/100, IF('(STEP 1) Baseline Conditions'!$B$6="Average", ('BMP Suitability 01'!S18*'BMP Removal Rates'!S$42)/100, IF('(STEP 1) Baseline Conditions'!$B$6="Best",('BMP Suitability 01'!S18*'BMP Removal Rates'!S$38)/100)))</f>
        <v>0</v>
      </c>
      <c r="T18" s="110">
        <f>IF('(STEP 1) Baseline Conditions'!$B$6="Poor",('BMP Suitability 01'!T18*'BMP Removal Rates'!T$41)/100, IF('(STEP 1) Baseline Conditions'!$B$6="Average", ('BMP Suitability 01'!T18*'BMP Removal Rates'!T$42)/100, IF('(STEP 1) Baseline Conditions'!$B$6="Best",('BMP Suitability 01'!T18*'BMP Removal Rates'!T$38)/100)))</f>
        <v>0.79749999999999999</v>
      </c>
      <c r="U18" s="110">
        <f>IF('(STEP 1) Baseline Conditions'!$B$6="Poor",('BMP Suitability 01'!U18*'BMP Removal Rates'!U$41)/100, IF('(STEP 1) Baseline Conditions'!$B$6="Average", ('BMP Suitability 01'!U18*'BMP Removal Rates'!U$42)/100, IF('(STEP 1) Baseline Conditions'!$B$6="Best",('BMP Suitability 01'!U18*'BMP Removal Rates'!U$38)/100)))</f>
        <v>0.52500000000000002</v>
      </c>
      <c r="V18" s="110">
        <f>IF('(STEP 1) Baseline Conditions'!$B$6="Poor",('BMP Suitability 01'!V18*'BMP Removal Rates'!V$41)/100, IF('(STEP 1) Baseline Conditions'!$B$6="Average", ('BMP Suitability 01'!V18*'BMP Removal Rates'!V$42)/100, IF('(STEP 1) Baseline Conditions'!$B$6="Best",('BMP Suitability 01'!V18*'BMP Removal Rates'!V$38)/100)))</f>
        <v>0.72750000000000004</v>
      </c>
      <c r="W18" s="110">
        <f>IF('(STEP 1) Baseline Conditions'!$B$6="Poor",('BMP Suitability 01'!W18*'BMP Removal Rates'!W$41)/100, IF('(STEP 1) Baseline Conditions'!$B$6="Average", ('BMP Suitability 01'!W18*'BMP Removal Rates'!W$42)/100, IF('(STEP 1) Baseline Conditions'!$B$6="Best",('BMP Suitability 01'!W18*'BMP Removal Rates'!W$38)/100)))</f>
        <v>0.755</v>
      </c>
      <c r="X18" s="110">
        <f>IF('(STEP 1) Baseline Conditions'!$B$6="Poor",('BMP Suitability 01'!X18*'BMP Removal Rates'!X$41)/100, IF('(STEP 1) Baseline Conditions'!$B$6="Average", ('BMP Suitability 01'!X18*'BMP Removal Rates'!X$42)/100, IF('(STEP 1) Baseline Conditions'!$B$6="Best",('BMP Suitability 01'!X18*'BMP Removal Rates'!X$38)/100)))</f>
        <v>0</v>
      </c>
      <c r="Y18" s="110">
        <f>IF('(STEP 1) Baseline Conditions'!$B$6="Poor",('BMP Suitability 01'!Y18*'BMP Removal Rates'!Y$41)/100, IF('(STEP 1) Baseline Conditions'!$B$6="Average", ('BMP Suitability 01'!Y18*'BMP Removal Rates'!Y$42)/100, IF('(STEP 1) Baseline Conditions'!$B$6="Best",('BMP Suitability 01'!Y18*'BMP Removal Rates'!Y$38)/100)))</f>
        <v>0</v>
      </c>
      <c r="Z18" s="110">
        <f>IF('(STEP 1) Baseline Conditions'!$B$6="Poor",('BMP Suitability 01'!Z18*'BMP Removal Rates'!Z$41)/100, IF('(STEP 1) Baseline Conditions'!$B$6="Average", ('BMP Suitability 01'!Z18*'BMP Removal Rates'!Z$42)/100, IF('(STEP 1) Baseline Conditions'!$B$6="Best",('BMP Suitability 01'!Z18*'BMP Removal Rates'!Z$38)/100)))</f>
        <v>0</v>
      </c>
      <c r="AA18" s="110">
        <f>IF('(STEP 1) Baseline Conditions'!$B$6="Poor",('BMP Suitability 01'!AA18*'BMP Removal Rates'!AA$41)/100, IF('(STEP 1) Baseline Conditions'!$B$6="Average", ('BMP Suitability 01'!AA18*'BMP Removal Rates'!AA$42)/100, IF('(STEP 1) Baseline Conditions'!$B$6="Best",('BMP Suitability 01'!AA18*'BMP Removal Rates'!AA$38)/100)))</f>
        <v>0</v>
      </c>
      <c r="AB18" s="110">
        <f>IF('(STEP 1) Baseline Conditions'!$B$6="Poor",('BMP Suitability 01'!AB18*'BMP Removal Rates'!AB$41)/100, IF('(STEP 1) Baseline Conditions'!$B$6="Average", ('BMP Suitability 01'!AB18*'BMP Removal Rates'!AB$42)/100, IF('(STEP 1) Baseline Conditions'!$B$6="Best",('BMP Suitability 01'!AB18*'BMP Removal Rates'!AB$38)/100)))</f>
        <v>0</v>
      </c>
      <c r="AC18" s="110">
        <f>IF('(STEP 1) Baseline Conditions'!$B$6="Poor",('BMP Suitability 01'!AC18*'BMP Removal Rates'!AC$41)/100, IF('(STEP 1) Baseline Conditions'!$B$6="Average", ('BMP Suitability 01'!AC18*'BMP Removal Rates'!AC$42)/100, IF('(STEP 1) Baseline Conditions'!$B$6="Best",('BMP Suitability 01'!AC18*'BMP Removal Rates'!AC$38)/100)))</f>
        <v>0</v>
      </c>
    </row>
    <row r="19" spans="1:29" x14ac:dyDescent="0.25">
      <c r="A19" s="3" t="s">
        <v>34</v>
      </c>
      <c r="B19" s="45">
        <f>IF(INDEX('Dosskey Coefficients'!$N$2:$N$20,MATCH('(STEP 1) Baseline Conditions'!$B$14,'Dosskey Coefficients'!$K$2:$K$20,0),0)&lt;0,('BMP Suitability 01'!B19*'BMP Removal Rates'!$B$38)/100, 'BMP Suitability 01'!B19*'BMP Removal Rates'!$B$39/100)</f>
        <v>0.87</v>
      </c>
      <c r="C19" s="45">
        <f>IF(INDEX('Dosskey Coefficients'!$N$2:$N$20,MATCH('(STEP 1) Baseline Conditions'!$B$14,'Dosskey Coefficients'!$K$2:$K$20,0),0)&lt;0,('BMP Suitability 01'!C19*$C$38)/100, 'BMP Suitability 01'!C19*$C$39/100)</f>
        <v>0.64500000000000002</v>
      </c>
      <c r="D19" s="45">
        <f>('BMP Suitability 01'!D19*'BMP Removal Rates'!$D$38)/100</f>
        <v>0.62</v>
      </c>
      <c r="E19" s="45">
        <f>('BMP Suitability 01'!E19*'BMP Removal Rates'!$E$38)/100</f>
        <v>0.38500000000000001</v>
      </c>
      <c r="F19" s="45">
        <f>('BMP Suitability 01'!F19*'BMP Removal Rates'!$F$38)/100</f>
        <v>0.4</v>
      </c>
      <c r="G19" s="45">
        <f>('BMP Suitability 01'!G19*'BMP Removal Rates'!$G$38)/100</f>
        <v>0.75</v>
      </c>
      <c r="H19" s="45">
        <f>('BMP Suitability 01'!H19*'BMP Removal Rates'!$H$38)/100</f>
        <v>0.95</v>
      </c>
      <c r="I19" s="45">
        <f>('BMP Suitability 01'!I19*'BMP Removal Rates'!$I$38)/100</f>
        <v>0.85</v>
      </c>
      <c r="J19" s="45">
        <f>('BMP Suitability 01'!J19*'BMP Removal Rates'!$J$38)/100</f>
        <v>0.9</v>
      </c>
      <c r="K19" s="45">
        <f>('BMP Suitability 01'!K19*'BMP Removal Rates'!$K$38)/100</f>
        <v>0.75</v>
      </c>
      <c r="L19" s="45">
        <f>('BMP Suitability 01'!L19*'BMP Removal Rates'!$L$38)/100</f>
        <v>0</v>
      </c>
      <c r="M19" s="45">
        <f>('BMP Suitability 01'!M19*'BMP Removal Rates'!$M$38)/100</f>
        <v>0</v>
      </c>
      <c r="N19" s="110">
        <f>IF('(STEP 1) Baseline Conditions'!$B$6="Poor",('BMP Suitability 01'!N19*'BMP Removal Rates'!N$41)/100, IF('(STEP 1) Baseline Conditions'!$B$6="Average", ('BMP Suitability 01'!N19*'BMP Removal Rates'!N$42)/100, IF('(STEP 1) Baseline Conditions'!$B$6="Best",('BMP Suitability 01'!N19*'BMP Removal Rates'!N$38)/100)))</f>
        <v>0.82</v>
      </c>
      <c r="O19" s="110">
        <f>IF('(STEP 1) Baseline Conditions'!$B$6="Poor",('BMP Suitability 01'!O19*'BMP Removal Rates'!O$41)/100, IF('(STEP 1) Baseline Conditions'!$B$6="Average", ('BMP Suitability 01'!O19*'BMP Removal Rates'!O$42)/100, IF('(STEP 1) Baseline Conditions'!$B$6="Best",('BMP Suitability 01'!O19*'BMP Removal Rates'!O$38)/100)))</f>
        <v>0.21</v>
      </c>
      <c r="P19" s="110">
        <f>IF('(STEP 1) Baseline Conditions'!$B$6="Poor",('BMP Suitability 01'!P19*'BMP Removal Rates'!P$41)/100, IF('(STEP 1) Baseline Conditions'!$B$6="Average", ('BMP Suitability 01'!P19*'BMP Removal Rates'!P$42)/100, IF('(STEP 1) Baseline Conditions'!$B$6="Best",('BMP Suitability 01'!P19*'BMP Removal Rates'!P$38)/100)))</f>
        <v>0.83750000000000002</v>
      </c>
      <c r="Q19" s="110">
        <f>IF('(STEP 1) Baseline Conditions'!$B$6="Poor",('BMP Suitability 01'!Q19*'BMP Removal Rates'!Q$41)/100, IF('(STEP 1) Baseline Conditions'!$B$6="Average", ('BMP Suitability 01'!Q19*'BMP Removal Rates'!Q$42)/100, IF('(STEP 1) Baseline Conditions'!$B$6="Best",('BMP Suitability 01'!Q19*'BMP Removal Rates'!Q$38)/100)))</f>
        <v>0.73750000000000004</v>
      </c>
      <c r="R19" s="110">
        <f>IF('(STEP 1) Baseline Conditions'!$B$6="Poor",('BMP Suitability 01'!R19*'BMP Removal Rates'!R$41)/100, IF('(STEP 1) Baseline Conditions'!$B$6="Average", ('BMP Suitability 01'!R19*'BMP Removal Rates'!R$42)/100, IF('(STEP 1) Baseline Conditions'!$B$6="Best",('BMP Suitability 01'!R19*'BMP Removal Rates'!R$38)/100)))</f>
        <v>0</v>
      </c>
      <c r="S19" s="110">
        <f>IF('(STEP 1) Baseline Conditions'!$B$6="Poor",('BMP Suitability 01'!S19*'BMP Removal Rates'!S$41)/100, IF('(STEP 1) Baseline Conditions'!$B$6="Average", ('BMP Suitability 01'!S19*'BMP Removal Rates'!S$42)/100, IF('(STEP 1) Baseline Conditions'!$B$6="Best",('BMP Suitability 01'!S19*'BMP Removal Rates'!S$38)/100)))</f>
        <v>0</v>
      </c>
      <c r="T19" s="110">
        <f>IF('(STEP 1) Baseline Conditions'!$B$6="Poor",('BMP Suitability 01'!T19*'BMP Removal Rates'!T$41)/100, IF('(STEP 1) Baseline Conditions'!$B$6="Average", ('BMP Suitability 01'!T19*'BMP Removal Rates'!T$42)/100, IF('(STEP 1) Baseline Conditions'!$B$6="Best",('BMP Suitability 01'!T19*'BMP Removal Rates'!T$38)/100)))</f>
        <v>0.79749999999999999</v>
      </c>
      <c r="U19" s="110">
        <f>IF('(STEP 1) Baseline Conditions'!$B$6="Poor",('BMP Suitability 01'!U19*'BMP Removal Rates'!U$41)/100, IF('(STEP 1) Baseline Conditions'!$B$6="Average", ('BMP Suitability 01'!U19*'BMP Removal Rates'!U$42)/100, IF('(STEP 1) Baseline Conditions'!$B$6="Best",('BMP Suitability 01'!U19*'BMP Removal Rates'!U$38)/100)))</f>
        <v>0.52500000000000002</v>
      </c>
      <c r="V19" s="110">
        <f>IF('(STEP 1) Baseline Conditions'!$B$6="Poor",('BMP Suitability 01'!V19*'BMP Removal Rates'!V$41)/100, IF('(STEP 1) Baseline Conditions'!$B$6="Average", ('BMP Suitability 01'!V19*'BMP Removal Rates'!V$42)/100, IF('(STEP 1) Baseline Conditions'!$B$6="Best",('BMP Suitability 01'!V19*'BMP Removal Rates'!V$38)/100)))</f>
        <v>0.72750000000000004</v>
      </c>
      <c r="W19" s="110">
        <f>IF('(STEP 1) Baseline Conditions'!$B$6="Poor",('BMP Suitability 01'!W19*'BMP Removal Rates'!W$41)/100, IF('(STEP 1) Baseline Conditions'!$B$6="Average", ('BMP Suitability 01'!W19*'BMP Removal Rates'!W$42)/100, IF('(STEP 1) Baseline Conditions'!$B$6="Best",('BMP Suitability 01'!W19*'BMP Removal Rates'!W$38)/100)))</f>
        <v>0.755</v>
      </c>
      <c r="X19" s="110">
        <f>IF('(STEP 1) Baseline Conditions'!$B$6="Poor",('BMP Suitability 01'!X19*'BMP Removal Rates'!X$41)/100, IF('(STEP 1) Baseline Conditions'!$B$6="Average", ('BMP Suitability 01'!X19*'BMP Removal Rates'!X$42)/100, IF('(STEP 1) Baseline Conditions'!$B$6="Best",('BMP Suitability 01'!X19*'BMP Removal Rates'!X$38)/100)))</f>
        <v>0</v>
      </c>
      <c r="Y19" s="110">
        <f>IF('(STEP 1) Baseline Conditions'!$B$6="Poor",('BMP Suitability 01'!Y19*'BMP Removal Rates'!Y$41)/100, IF('(STEP 1) Baseline Conditions'!$B$6="Average", ('BMP Suitability 01'!Y19*'BMP Removal Rates'!Y$42)/100, IF('(STEP 1) Baseline Conditions'!$B$6="Best",('BMP Suitability 01'!Y19*'BMP Removal Rates'!Y$38)/100)))</f>
        <v>0</v>
      </c>
      <c r="Z19" s="110">
        <f>IF('(STEP 1) Baseline Conditions'!$B$6="Poor",('BMP Suitability 01'!Z19*'BMP Removal Rates'!Z$41)/100, IF('(STEP 1) Baseline Conditions'!$B$6="Average", ('BMP Suitability 01'!Z19*'BMP Removal Rates'!Z$42)/100, IF('(STEP 1) Baseline Conditions'!$B$6="Best",('BMP Suitability 01'!Z19*'BMP Removal Rates'!Z$38)/100)))</f>
        <v>0.75</v>
      </c>
      <c r="AA19" s="110">
        <f>IF('(STEP 1) Baseline Conditions'!$B$6="Poor",('BMP Suitability 01'!AA19*'BMP Removal Rates'!AA$41)/100, IF('(STEP 1) Baseline Conditions'!$B$6="Average", ('BMP Suitability 01'!AA19*'BMP Removal Rates'!AA$42)/100, IF('(STEP 1) Baseline Conditions'!$B$6="Best",('BMP Suitability 01'!AA19*'BMP Removal Rates'!AA$38)/100)))</f>
        <v>0.71750000000000003</v>
      </c>
      <c r="AB19" s="110">
        <f>IF('(STEP 1) Baseline Conditions'!$B$6="Poor",('BMP Suitability 01'!AB19*'BMP Removal Rates'!AB$41)/100, IF('(STEP 1) Baseline Conditions'!$B$6="Average", ('BMP Suitability 01'!AB19*'BMP Removal Rates'!AB$42)/100, IF('(STEP 1) Baseline Conditions'!$B$6="Best",('BMP Suitability 01'!AB19*'BMP Removal Rates'!AB$38)/100)))</f>
        <v>0</v>
      </c>
      <c r="AC19" s="110">
        <f>IF('(STEP 1) Baseline Conditions'!$B$6="Poor",('BMP Suitability 01'!AC19*'BMP Removal Rates'!AC$41)/100, IF('(STEP 1) Baseline Conditions'!$B$6="Average", ('BMP Suitability 01'!AC19*'BMP Removal Rates'!AC$42)/100, IF('(STEP 1) Baseline Conditions'!$B$6="Best",('BMP Suitability 01'!AC19*'BMP Removal Rates'!AC$38)/100)))</f>
        <v>0</v>
      </c>
    </row>
    <row r="20" spans="1:29" x14ac:dyDescent="0.25">
      <c r="A20" s="3" t="s">
        <v>92</v>
      </c>
      <c r="B20" s="45">
        <f>IF(INDEX('Dosskey Coefficients'!$N$2:$N$20,MATCH('(STEP 1) Baseline Conditions'!$B$14,'Dosskey Coefficients'!$K$2:$K$20,0),0)&lt;0,('BMP Suitability 01'!B20*'BMP Removal Rates'!$B$38)/100, 'BMP Suitability 01'!B20*'BMP Removal Rates'!$B$39/100)</f>
        <v>0</v>
      </c>
      <c r="C20" s="45">
        <f>IF(INDEX('Dosskey Coefficients'!$N$2:$N$20,MATCH('(STEP 1) Baseline Conditions'!$B$14,'Dosskey Coefficients'!$K$2:$K$20,0),0)&lt;0,('BMP Suitability 01'!C20*$C$38)/100, 'BMP Suitability 01'!C20*$C$39/100)</f>
        <v>0</v>
      </c>
      <c r="D20" s="45">
        <f>('BMP Suitability 01'!D20*'BMP Removal Rates'!$D$38)/100</f>
        <v>0.62</v>
      </c>
      <c r="E20" s="45">
        <f>('BMP Suitability 01'!E20*'BMP Removal Rates'!$E$38)/100</f>
        <v>0.38500000000000001</v>
      </c>
      <c r="F20" s="45">
        <f>('BMP Suitability 01'!F20*'BMP Removal Rates'!$F$38)/100</f>
        <v>0.4</v>
      </c>
      <c r="G20" s="45">
        <f>('BMP Suitability 01'!G20*'BMP Removal Rates'!$G$38)/100</f>
        <v>0.75</v>
      </c>
      <c r="H20" s="45">
        <f>('BMP Suitability 01'!H20*'BMP Removal Rates'!$H$38)/100</f>
        <v>0.95</v>
      </c>
      <c r="I20" s="45">
        <f>('BMP Suitability 01'!I20*'BMP Removal Rates'!$I$38)/100</f>
        <v>0.85</v>
      </c>
      <c r="J20" s="45">
        <f>('BMP Suitability 01'!J20*'BMP Removal Rates'!$J$38)/100</f>
        <v>0.9</v>
      </c>
      <c r="K20" s="45">
        <f>('BMP Suitability 01'!K20*'BMP Removal Rates'!$K$38)/100</f>
        <v>0.75</v>
      </c>
      <c r="L20" s="45">
        <f>('BMP Suitability 01'!L20*'BMP Removal Rates'!$L$38)/100</f>
        <v>0</v>
      </c>
      <c r="M20" s="45">
        <f>('BMP Suitability 01'!M20*'BMP Removal Rates'!$M$38)/100</f>
        <v>0</v>
      </c>
      <c r="N20" s="110">
        <f>IF('(STEP 1) Baseline Conditions'!$B$6="Poor",('BMP Suitability 01'!N20*'BMP Removal Rates'!N$41)/100, IF('(STEP 1) Baseline Conditions'!$B$6="Average", ('BMP Suitability 01'!N20*'BMP Removal Rates'!N$42)/100, IF('(STEP 1) Baseline Conditions'!$B$6="Best",('BMP Suitability 01'!N20*'BMP Removal Rates'!N$38)/100)))</f>
        <v>0</v>
      </c>
      <c r="O20" s="110">
        <f>IF('(STEP 1) Baseline Conditions'!$B$6="Poor",('BMP Suitability 01'!O20*'BMP Removal Rates'!O$41)/100, IF('(STEP 1) Baseline Conditions'!$B$6="Average", ('BMP Suitability 01'!O20*'BMP Removal Rates'!O$42)/100, IF('(STEP 1) Baseline Conditions'!$B$6="Best",('BMP Suitability 01'!O20*'BMP Removal Rates'!O$38)/100)))</f>
        <v>0</v>
      </c>
      <c r="P20" s="110">
        <f>IF('(STEP 1) Baseline Conditions'!$B$6="Poor",('BMP Suitability 01'!P20*'BMP Removal Rates'!P$41)/100, IF('(STEP 1) Baseline Conditions'!$B$6="Average", ('BMP Suitability 01'!P20*'BMP Removal Rates'!P$42)/100, IF('(STEP 1) Baseline Conditions'!$B$6="Best",('BMP Suitability 01'!P20*'BMP Removal Rates'!P$38)/100)))</f>
        <v>0</v>
      </c>
      <c r="Q20" s="110">
        <f>IF('(STEP 1) Baseline Conditions'!$B$6="Poor",('BMP Suitability 01'!Q20*'BMP Removal Rates'!Q$41)/100, IF('(STEP 1) Baseline Conditions'!$B$6="Average", ('BMP Suitability 01'!Q20*'BMP Removal Rates'!Q$42)/100, IF('(STEP 1) Baseline Conditions'!$B$6="Best",('BMP Suitability 01'!Q20*'BMP Removal Rates'!Q$38)/100)))</f>
        <v>0</v>
      </c>
      <c r="R20" s="110">
        <f>IF('(STEP 1) Baseline Conditions'!$B$6="Poor",('BMP Suitability 01'!R20*'BMP Removal Rates'!R$41)/100, IF('(STEP 1) Baseline Conditions'!$B$6="Average", ('BMP Suitability 01'!R20*'BMP Removal Rates'!R$42)/100, IF('(STEP 1) Baseline Conditions'!$B$6="Best",('BMP Suitability 01'!R20*'BMP Removal Rates'!R$38)/100)))</f>
        <v>0</v>
      </c>
      <c r="S20" s="110">
        <f>IF('(STEP 1) Baseline Conditions'!$B$6="Poor",('BMP Suitability 01'!S20*'BMP Removal Rates'!S$41)/100, IF('(STEP 1) Baseline Conditions'!$B$6="Average", ('BMP Suitability 01'!S20*'BMP Removal Rates'!S$42)/100, IF('(STEP 1) Baseline Conditions'!$B$6="Best",('BMP Suitability 01'!S20*'BMP Removal Rates'!S$38)/100)))</f>
        <v>0</v>
      </c>
      <c r="T20" s="110">
        <f>IF('(STEP 1) Baseline Conditions'!$B$6="Poor",('BMP Suitability 01'!T20*'BMP Removal Rates'!T$41)/100, IF('(STEP 1) Baseline Conditions'!$B$6="Average", ('BMP Suitability 01'!T20*'BMP Removal Rates'!T$42)/100, IF('(STEP 1) Baseline Conditions'!$B$6="Best",('BMP Suitability 01'!T20*'BMP Removal Rates'!T$38)/100)))</f>
        <v>0.79749999999999999</v>
      </c>
      <c r="U20" s="110">
        <f>IF('(STEP 1) Baseline Conditions'!$B$6="Poor",('BMP Suitability 01'!U20*'BMP Removal Rates'!U$41)/100, IF('(STEP 1) Baseline Conditions'!$B$6="Average", ('BMP Suitability 01'!U20*'BMP Removal Rates'!U$42)/100, IF('(STEP 1) Baseline Conditions'!$B$6="Best",('BMP Suitability 01'!U20*'BMP Removal Rates'!U$38)/100)))</f>
        <v>0.52500000000000002</v>
      </c>
      <c r="V20" s="110">
        <f>IF('(STEP 1) Baseline Conditions'!$B$6="Poor",('BMP Suitability 01'!V20*'BMP Removal Rates'!V$41)/100, IF('(STEP 1) Baseline Conditions'!$B$6="Average", ('BMP Suitability 01'!V20*'BMP Removal Rates'!V$42)/100, IF('(STEP 1) Baseline Conditions'!$B$6="Best",('BMP Suitability 01'!V20*'BMP Removal Rates'!V$38)/100)))</f>
        <v>0</v>
      </c>
      <c r="W20" s="110">
        <f>IF('(STEP 1) Baseline Conditions'!$B$6="Poor",('BMP Suitability 01'!W20*'BMP Removal Rates'!W$41)/100, IF('(STEP 1) Baseline Conditions'!$B$6="Average", ('BMP Suitability 01'!W20*'BMP Removal Rates'!W$42)/100, IF('(STEP 1) Baseline Conditions'!$B$6="Best",('BMP Suitability 01'!W20*'BMP Removal Rates'!W$38)/100)))</f>
        <v>0</v>
      </c>
      <c r="X20" s="110">
        <f>IF('(STEP 1) Baseline Conditions'!$B$6="Poor",('BMP Suitability 01'!X20*'BMP Removal Rates'!X$41)/100, IF('(STEP 1) Baseline Conditions'!$B$6="Average", ('BMP Suitability 01'!X20*'BMP Removal Rates'!X$42)/100, IF('(STEP 1) Baseline Conditions'!$B$6="Best",('BMP Suitability 01'!X20*'BMP Removal Rates'!X$38)/100)))</f>
        <v>0.85</v>
      </c>
      <c r="Y20" s="110">
        <f>IF('(STEP 1) Baseline Conditions'!$B$6="Poor",('BMP Suitability 01'!Y20*'BMP Removal Rates'!Y$41)/100, IF('(STEP 1) Baseline Conditions'!$B$6="Average", ('BMP Suitability 01'!Y20*'BMP Removal Rates'!Y$42)/100, IF('(STEP 1) Baseline Conditions'!$B$6="Best",('BMP Suitability 01'!Y20*'BMP Removal Rates'!Y$38)/100)))</f>
        <v>0.22</v>
      </c>
      <c r="Z20" s="110">
        <f>IF('(STEP 1) Baseline Conditions'!$B$6="Poor",('BMP Suitability 01'!Z20*'BMP Removal Rates'!Z$41)/100, IF('(STEP 1) Baseline Conditions'!$B$6="Average", ('BMP Suitability 01'!Z20*'BMP Removal Rates'!Z$42)/100, IF('(STEP 1) Baseline Conditions'!$B$6="Best",('BMP Suitability 01'!Z20*'BMP Removal Rates'!Z$38)/100)))</f>
        <v>0.75</v>
      </c>
      <c r="AA20" s="110">
        <f>IF('(STEP 1) Baseline Conditions'!$B$6="Poor",('BMP Suitability 01'!AA20*'BMP Removal Rates'!AA$41)/100, IF('(STEP 1) Baseline Conditions'!$B$6="Average", ('BMP Suitability 01'!AA20*'BMP Removal Rates'!AA$42)/100, IF('(STEP 1) Baseline Conditions'!$B$6="Best",('BMP Suitability 01'!AA20*'BMP Removal Rates'!AA$38)/100)))</f>
        <v>0.71750000000000003</v>
      </c>
      <c r="AB20" s="110">
        <f>IF('(STEP 1) Baseline Conditions'!$B$6="Poor",('BMP Suitability 01'!AB20*'BMP Removal Rates'!AB$41)/100, IF('(STEP 1) Baseline Conditions'!$B$6="Average", ('BMP Suitability 01'!AB20*'BMP Removal Rates'!AB$42)/100, IF('(STEP 1) Baseline Conditions'!$B$6="Best",('BMP Suitability 01'!AB20*'BMP Removal Rates'!AB$38)/100)))</f>
        <v>0</v>
      </c>
      <c r="AC20" s="110">
        <f>IF('(STEP 1) Baseline Conditions'!$B$6="Poor",('BMP Suitability 01'!AC20*'BMP Removal Rates'!AC$41)/100, IF('(STEP 1) Baseline Conditions'!$B$6="Average", ('BMP Suitability 01'!AC20*'BMP Removal Rates'!AC$42)/100, IF('(STEP 1) Baseline Conditions'!$B$6="Best",('BMP Suitability 01'!AC20*'BMP Removal Rates'!AC$38)/100)))</f>
        <v>0</v>
      </c>
    </row>
    <row r="21" spans="1:29" x14ac:dyDescent="0.25">
      <c r="A21" s="3" t="s">
        <v>36</v>
      </c>
      <c r="B21" s="45">
        <f>IF(INDEX('Dosskey Coefficients'!$N$2:$N$20,MATCH('(STEP 1) Baseline Conditions'!$B$14,'Dosskey Coefficients'!$K$2:$K$20,0),0)&lt;0,('BMP Suitability 01'!B21*'BMP Removal Rates'!$B$38)/100, 'BMP Suitability 01'!B21*'BMP Removal Rates'!$B$39/100)</f>
        <v>0.87</v>
      </c>
      <c r="C21" s="45">
        <f>IF(INDEX('Dosskey Coefficients'!$N$2:$N$20,MATCH('(STEP 1) Baseline Conditions'!$B$14,'Dosskey Coefficients'!$K$2:$K$20,0),0)&lt;0,('BMP Suitability 01'!C21*$C$38)/100, 'BMP Suitability 01'!C21*$C$39/100)</f>
        <v>0.64500000000000002</v>
      </c>
      <c r="D21" s="45">
        <f>('BMP Suitability 01'!D21*'BMP Removal Rates'!$D$38)/100</f>
        <v>0.62</v>
      </c>
      <c r="E21" s="45">
        <f>('BMP Suitability 01'!E21*'BMP Removal Rates'!$E$38)/100</f>
        <v>0.38500000000000001</v>
      </c>
      <c r="F21" s="45">
        <f>('BMP Suitability 01'!F21*'BMP Removal Rates'!$F$38)/100</f>
        <v>0.4</v>
      </c>
      <c r="G21" s="45">
        <f>('BMP Suitability 01'!G21*'BMP Removal Rates'!$G$38)/100</f>
        <v>0.75</v>
      </c>
      <c r="H21" s="45">
        <f>('BMP Suitability 01'!H21*'BMP Removal Rates'!$H$38)/100</f>
        <v>0.95</v>
      </c>
      <c r="I21" s="45">
        <f>('BMP Suitability 01'!I21*'BMP Removal Rates'!$I$38)/100</f>
        <v>0.85</v>
      </c>
      <c r="J21" s="45">
        <f>('BMP Suitability 01'!J21*'BMP Removal Rates'!$J$38)/100</f>
        <v>0.9</v>
      </c>
      <c r="K21" s="45">
        <f>('BMP Suitability 01'!K21*'BMP Removal Rates'!$K$38)/100</f>
        <v>0.75</v>
      </c>
      <c r="L21" s="45">
        <f>('BMP Suitability 01'!L21*'BMP Removal Rates'!$L$38)/100</f>
        <v>0.69</v>
      </c>
      <c r="M21" s="45">
        <f>('BMP Suitability 01'!M21*'BMP Removal Rates'!$M$38)/100</f>
        <v>0.77500000000000002</v>
      </c>
      <c r="N21" s="110">
        <f>IF('(STEP 1) Baseline Conditions'!$B$6="Poor",('BMP Suitability 01'!N21*'BMP Removal Rates'!N$41)/100, IF('(STEP 1) Baseline Conditions'!$B$6="Average", ('BMP Suitability 01'!N21*'BMP Removal Rates'!N$42)/100, IF('(STEP 1) Baseline Conditions'!$B$6="Best",('BMP Suitability 01'!N21*'BMP Removal Rates'!N$38)/100)))</f>
        <v>0.82</v>
      </c>
      <c r="O21" s="110">
        <f>IF('(STEP 1) Baseline Conditions'!$B$6="Poor",('BMP Suitability 01'!O21*'BMP Removal Rates'!O$41)/100, IF('(STEP 1) Baseline Conditions'!$B$6="Average", ('BMP Suitability 01'!O21*'BMP Removal Rates'!O$42)/100, IF('(STEP 1) Baseline Conditions'!$B$6="Best",('BMP Suitability 01'!O21*'BMP Removal Rates'!O$38)/100)))</f>
        <v>0.21</v>
      </c>
      <c r="P21" s="110">
        <f>IF('(STEP 1) Baseline Conditions'!$B$6="Poor",('BMP Suitability 01'!P21*'BMP Removal Rates'!P$41)/100, IF('(STEP 1) Baseline Conditions'!$B$6="Average", ('BMP Suitability 01'!P21*'BMP Removal Rates'!P$42)/100, IF('(STEP 1) Baseline Conditions'!$B$6="Best",('BMP Suitability 01'!P21*'BMP Removal Rates'!P$38)/100)))</f>
        <v>0</v>
      </c>
      <c r="Q21" s="110">
        <f>IF('(STEP 1) Baseline Conditions'!$B$6="Poor",('BMP Suitability 01'!Q21*'BMP Removal Rates'!Q$41)/100, IF('(STEP 1) Baseline Conditions'!$B$6="Average", ('BMP Suitability 01'!Q21*'BMP Removal Rates'!Q$42)/100, IF('(STEP 1) Baseline Conditions'!$B$6="Best",('BMP Suitability 01'!Q21*'BMP Removal Rates'!Q$38)/100)))</f>
        <v>0</v>
      </c>
      <c r="R21" s="110">
        <f>IF('(STEP 1) Baseline Conditions'!$B$6="Poor",('BMP Suitability 01'!R21*'BMP Removal Rates'!R$41)/100, IF('(STEP 1) Baseline Conditions'!$B$6="Average", ('BMP Suitability 01'!R21*'BMP Removal Rates'!R$42)/100, IF('(STEP 1) Baseline Conditions'!$B$6="Best",('BMP Suitability 01'!R21*'BMP Removal Rates'!R$38)/100)))</f>
        <v>0</v>
      </c>
      <c r="S21" s="110">
        <f>IF('(STEP 1) Baseline Conditions'!$B$6="Poor",('BMP Suitability 01'!S21*'BMP Removal Rates'!S$41)/100, IF('(STEP 1) Baseline Conditions'!$B$6="Average", ('BMP Suitability 01'!S21*'BMP Removal Rates'!S$42)/100, IF('(STEP 1) Baseline Conditions'!$B$6="Best",('BMP Suitability 01'!S21*'BMP Removal Rates'!S$38)/100)))</f>
        <v>0</v>
      </c>
      <c r="T21" s="110">
        <f>IF('(STEP 1) Baseline Conditions'!$B$6="Poor",('BMP Suitability 01'!T21*'BMP Removal Rates'!T$41)/100, IF('(STEP 1) Baseline Conditions'!$B$6="Average", ('BMP Suitability 01'!T21*'BMP Removal Rates'!T$42)/100, IF('(STEP 1) Baseline Conditions'!$B$6="Best",('BMP Suitability 01'!T21*'BMP Removal Rates'!T$38)/100)))</f>
        <v>0.79749999999999999</v>
      </c>
      <c r="U21" s="110">
        <f>IF('(STEP 1) Baseline Conditions'!$B$6="Poor",('BMP Suitability 01'!U21*'BMP Removal Rates'!U$41)/100, IF('(STEP 1) Baseline Conditions'!$B$6="Average", ('BMP Suitability 01'!U21*'BMP Removal Rates'!U$42)/100, IF('(STEP 1) Baseline Conditions'!$B$6="Best",('BMP Suitability 01'!U21*'BMP Removal Rates'!U$38)/100)))</f>
        <v>0.52500000000000002</v>
      </c>
      <c r="V21" s="110">
        <f>IF('(STEP 1) Baseline Conditions'!$B$6="Poor",('BMP Suitability 01'!V21*'BMP Removal Rates'!V$41)/100, IF('(STEP 1) Baseline Conditions'!$B$6="Average", ('BMP Suitability 01'!V21*'BMP Removal Rates'!V$42)/100, IF('(STEP 1) Baseline Conditions'!$B$6="Best",('BMP Suitability 01'!V21*'BMP Removal Rates'!V$38)/100)))</f>
        <v>0.72750000000000004</v>
      </c>
      <c r="W21" s="110">
        <f>IF('(STEP 1) Baseline Conditions'!$B$6="Poor",('BMP Suitability 01'!W21*'BMP Removal Rates'!W$41)/100, IF('(STEP 1) Baseline Conditions'!$B$6="Average", ('BMP Suitability 01'!W21*'BMP Removal Rates'!W$42)/100, IF('(STEP 1) Baseline Conditions'!$B$6="Best",('BMP Suitability 01'!W21*'BMP Removal Rates'!W$38)/100)))</f>
        <v>0.755</v>
      </c>
      <c r="X21" s="110">
        <f>IF('(STEP 1) Baseline Conditions'!$B$6="Poor",('BMP Suitability 01'!X21*'BMP Removal Rates'!X$41)/100, IF('(STEP 1) Baseline Conditions'!$B$6="Average", ('BMP Suitability 01'!X21*'BMP Removal Rates'!X$42)/100, IF('(STEP 1) Baseline Conditions'!$B$6="Best",('BMP Suitability 01'!X21*'BMP Removal Rates'!X$38)/100)))</f>
        <v>0</v>
      </c>
      <c r="Y21" s="110">
        <f>IF('(STEP 1) Baseline Conditions'!$B$6="Poor",('BMP Suitability 01'!Y21*'BMP Removal Rates'!Y$41)/100, IF('(STEP 1) Baseline Conditions'!$B$6="Average", ('BMP Suitability 01'!Y21*'BMP Removal Rates'!Y$42)/100, IF('(STEP 1) Baseline Conditions'!$B$6="Best",('BMP Suitability 01'!Y21*'BMP Removal Rates'!Y$38)/100)))</f>
        <v>0</v>
      </c>
      <c r="Z21" s="110">
        <f>IF('(STEP 1) Baseline Conditions'!$B$6="Poor",('BMP Suitability 01'!Z21*'BMP Removal Rates'!Z$41)/100, IF('(STEP 1) Baseline Conditions'!$B$6="Average", ('BMP Suitability 01'!Z21*'BMP Removal Rates'!Z$42)/100, IF('(STEP 1) Baseline Conditions'!$B$6="Best",('BMP Suitability 01'!Z21*'BMP Removal Rates'!Z$38)/100)))</f>
        <v>0.75</v>
      </c>
      <c r="AA21" s="110">
        <f>IF('(STEP 1) Baseline Conditions'!$B$6="Poor",('BMP Suitability 01'!AA21*'BMP Removal Rates'!AA$41)/100, IF('(STEP 1) Baseline Conditions'!$B$6="Average", ('BMP Suitability 01'!AA21*'BMP Removal Rates'!AA$42)/100, IF('(STEP 1) Baseline Conditions'!$B$6="Best",('BMP Suitability 01'!AA21*'BMP Removal Rates'!AA$38)/100)))</f>
        <v>0.71750000000000003</v>
      </c>
      <c r="AB21" s="110">
        <f>IF('(STEP 1) Baseline Conditions'!$B$6="Poor",('BMP Suitability 01'!AB21*'BMP Removal Rates'!AB$41)/100, IF('(STEP 1) Baseline Conditions'!$B$6="Average", ('BMP Suitability 01'!AB21*'BMP Removal Rates'!AB$42)/100, IF('(STEP 1) Baseline Conditions'!$B$6="Best",('BMP Suitability 01'!AB21*'BMP Removal Rates'!AB$38)/100)))</f>
        <v>0</v>
      </c>
      <c r="AC21" s="110">
        <f>IF('(STEP 1) Baseline Conditions'!$B$6="Poor",('BMP Suitability 01'!AC21*'BMP Removal Rates'!AC$41)/100, IF('(STEP 1) Baseline Conditions'!$B$6="Average", ('BMP Suitability 01'!AC21*'BMP Removal Rates'!AC$42)/100, IF('(STEP 1) Baseline Conditions'!$B$6="Best",('BMP Suitability 01'!AC21*'BMP Removal Rates'!AC$38)/100)))</f>
        <v>0.62</v>
      </c>
    </row>
    <row r="22" spans="1:29" x14ac:dyDescent="0.25">
      <c r="A22" s="3" t="s">
        <v>37</v>
      </c>
      <c r="B22" s="45">
        <f>IF(INDEX('Dosskey Coefficients'!$N$2:$N$20,MATCH('(STEP 1) Baseline Conditions'!$B$14,'Dosskey Coefficients'!$K$2:$K$20,0),0)&lt;0,('BMP Suitability 01'!B22*'BMP Removal Rates'!$B$38)/100, 'BMP Suitability 01'!B22*'BMP Removal Rates'!$B$39/100)</f>
        <v>0</v>
      </c>
      <c r="C22" s="45">
        <f>IF(INDEX('Dosskey Coefficients'!$N$2:$N$20,MATCH('(STEP 1) Baseline Conditions'!$B$14,'Dosskey Coefficients'!$K$2:$K$20,0),0)&lt;0,('BMP Suitability 01'!C22*$C$38)/100, 'BMP Suitability 01'!C22*$C$39/100)</f>
        <v>0</v>
      </c>
      <c r="D22" s="45">
        <f>('BMP Suitability 01'!D22*'BMP Removal Rates'!$D$38)/100</f>
        <v>0.62</v>
      </c>
      <c r="E22" s="45">
        <f>('BMP Suitability 01'!E22*'BMP Removal Rates'!$E$38)/100</f>
        <v>0.38500000000000001</v>
      </c>
      <c r="F22" s="45">
        <f>('BMP Suitability 01'!F22*'BMP Removal Rates'!$F$38)/100</f>
        <v>0.4</v>
      </c>
      <c r="G22" s="45">
        <f>('BMP Suitability 01'!G22*'BMP Removal Rates'!$G$38)/100</f>
        <v>0.75</v>
      </c>
      <c r="H22" s="45">
        <f>('BMP Suitability 01'!H22*'BMP Removal Rates'!$H$38)/100</f>
        <v>0</v>
      </c>
      <c r="I22" s="45">
        <f>('BMP Suitability 01'!I22*'BMP Removal Rates'!$I$38)/100</f>
        <v>0</v>
      </c>
      <c r="J22" s="45">
        <f>('BMP Suitability 01'!J22*'BMP Removal Rates'!$J$38)/100</f>
        <v>0.9</v>
      </c>
      <c r="K22" s="45">
        <f>('BMP Suitability 01'!K22*'BMP Removal Rates'!$K$38)/100</f>
        <v>0.75</v>
      </c>
      <c r="L22" s="45">
        <f>('BMP Suitability 01'!L22*'BMP Removal Rates'!$L$38)/100</f>
        <v>0</v>
      </c>
      <c r="M22" s="45">
        <f>('BMP Suitability 01'!M22*'BMP Removal Rates'!$M$38)/100</f>
        <v>0</v>
      </c>
      <c r="N22" s="110">
        <f>IF('(STEP 1) Baseline Conditions'!$B$6="Poor",('BMP Suitability 01'!N22*'BMP Removal Rates'!N$41)/100, IF('(STEP 1) Baseline Conditions'!$B$6="Average", ('BMP Suitability 01'!N22*'BMP Removal Rates'!N$42)/100, IF('(STEP 1) Baseline Conditions'!$B$6="Best",('BMP Suitability 01'!N22*'BMP Removal Rates'!N$38)/100)))</f>
        <v>0.82</v>
      </c>
      <c r="O22" s="110">
        <f>IF('(STEP 1) Baseline Conditions'!$B$6="Poor",('BMP Suitability 01'!O22*'BMP Removal Rates'!O$41)/100, IF('(STEP 1) Baseline Conditions'!$B$6="Average", ('BMP Suitability 01'!O22*'BMP Removal Rates'!O$42)/100, IF('(STEP 1) Baseline Conditions'!$B$6="Best",('BMP Suitability 01'!O22*'BMP Removal Rates'!O$38)/100)))</f>
        <v>0.21</v>
      </c>
      <c r="P22" s="110">
        <f>IF('(STEP 1) Baseline Conditions'!$B$6="Poor",('BMP Suitability 01'!P22*'BMP Removal Rates'!P$41)/100, IF('(STEP 1) Baseline Conditions'!$B$6="Average", ('BMP Suitability 01'!P22*'BMP Removal Rates'!P$42)/100, IF('(STEP 1) Baseline Conditions'!$B$6="Best",('BMP Suitability 01'!P22*'BMP Removal Rates'!P$38)/100)))</f>
        <v>0</v>
      </c>
      <c r="Q22" s="110">
        <f>IF('(STEP 1) Baseline Conditions'!$B$6="Poor",('BMP Suitability 01'!Q22*'BMP Removal Rates'!Q$41)/100, IF('(STEP 1) Baseline Conditions'!$B$6="Average", ('BMP Suitability 01'!Q22*'BMP Removal Rates'!Q$42)/100, IF('(STEP 1) Baseline Conditions'!$B$6="Best",('BMP Suitability 01'!Q22*'BMP Removal Rates'!Q$38)/100)))</f>
        <v>0</v>
      </c>
      <c r="R22" s="110">
        <f>IF('(STEP 1) Baseline Conditions'!$B$6="Poor",('BMP Suitability 01'!R22*'BMP Removal Rates'!R$41)/100, IF('(STEP 1) Baseline Conditions'!$B$6="Average", ('BMP Suitability 01'!R22*'BMP Removal Rates'!R$42)/100, IF('(STEP 1) Baseline Conditions'!$B$6="Best",('BMP Suitability 01'!R22*'BMP Removal Rates'!R$38)/100)))</f>
        <v>0</v>
      </c>
      <c r="S22" s="110">
        <f>IF('(STEP 1) Baseline Conditions'!$B$6="Poor",('BMP Suitability 01'!S22*'BMP Removal Rates'!S$41)/100, IF('(STEP 1) Baseline Conditions'!$B$6="Average", ('BMP Suitability 01'!S22*'BMP Removal Rates'!S$42)/100, IF('(STEP 1) Baseline Conditions'!$B$6="Best",('BMP Suitability 01'!S22*'BMP Removal Rates'!S$38)/100)))</f>
        <v>0</v>
      </c>
      <c r="T22" s="110">
        <f>IF('(STEP 1) Baseline Conditions'!$B$6="Poor",('BMP Suitability 01'!T22*'BMP Removal Rates'!T$41)/100, IF('(STEP 1) Baseline Conditions'!$B$6="Average", ('BMP Suitability 01'!T22*'BMP Removal Rates'!T$42)/100, IF('(STEP 1) Baseline Conditions'!$B$6="Best",('BMP Suitability 01'!T22*'BMP Removal Rates'!T$38)/100)))</f>
        <v>0.79749999999999999</v>
      </c>
      <c r="U22" s="110">
        <f>IF('(STEP 1) Baseline Conditions'!$B$6="Poor",('BMP Suitability 01'!U22*'BMP Removal Rates'!U$41)/100, IF('(STEP 1) Baseline Conditions'!$B$6="Average", ('BMP Suitability 01'!U22*'BMP Removal Rates'!U$42)/100, IF('(STEP 1) Baseline Conditions'!$B$6="Best",('BMP Suitability 01'!U22*'BMP Removal Rates'!U$38)/100)))</f>
        <v>0.52500000000000002</v>
      </c>
      <c r="V22" s="110">
        <f>IF('(STEP 1) Baseline Conditions'!$B$6="Poor",('BMP Suitability 01'!V22*'BMP Removal Rates'!V$41)/100, IF('(STEP 1) Baseline Conditions'!$B$6="Average", ('BMP Suitability 01'!V22*'BMP Removal Rates'!V$42)/100, IF('(STEP 1) Baseline Conditions'!$B$6="Best",('BMP Suitability 01'!V22*'BMP Removal Rates'!V$38)/100)))</f>
        <v>0.72750000000000004</v>
      </c>
      <c r="W22" s="110">
        <f>IF('(STEP 1) Baseline Conditions'!$B$6="Poor",('BMP Suitability 01'!W22*'BMP Removal Rates'!W$41)/100, IF('(STEP 1) Baseline Conditions'!$B$6="Average", ('BMP Suitability 01'!W22*'BMP Removal Rates'!W$42)/100, IF('(STEP 1) Baseline Conditions'!$B$6="Best",('BMP Suitability 01'!W22*'BMP Removal Rates'!W$38)/100)))</f>
        <v>0.755</v>
      </c>
      <c r="X22" s="110">
        <f>IF('(STEP 1) Baseline Conditions'!$B$6="Poor",('BMP Suitability 01'!X22*'BMP Removal Rates'!X$41)/100, IF('(STEP 1) Baseline Conditions'!$B$6="Average", ('BMP Suitability 01'!X22*'BMP Removal Rates'!X$42)/100, IF('(STEP 1) Baseline Conditions'!$B$6="Best",('BMP Suitability 01'!X22*'BMP Removal Rates'!X$38)/100)))</f>
        <v>0</v>
      </c>
      <c r="Y22" s="110">
        <f>IF('(STEP 1) Baseline Conditions'!$B$6="Poor",('BMP Suitability 01'!Y22*'BMP Removal Rates'!Y$41)/100, IF('(STEP 1) Baseline Conditions'!$B$6="Average", ('BMP Suitability 01'!Y22*'BMP Removal Rates'!Y$42)/100, IF('(STEP 1) Baseline Conditions'!$B$6="Best",('BMP Suitability 01'!Y22*'BMP Removal Rates'!Y$38)/100)))</f>
        <v>0</v>
      </c>
      <c r="Z22" s="110">
        <f>IF('(STEP 1) Baseline Conditions'!$B$6="Poor",('BMP Suitability 01'!Z22*'BMP Removal Rates'!Z$41)/100, IF('(STEP 1) Baseline Conditions'!$B$6="Average", ('BMP Suitability 01'!Z22*'BMP Removal Rates'!Z$42)/100, IF('(STEP 1) Baseline Conditions'!$B$6="Best",('BMP Suitability 01'!Z22*'BMP Removal Rates'!Z$38)/100)))</f>
        <v>0</v>
      </c>
      <c r="AA22" s="110">
        <f>IF('(STEP 1) Baseline Conditions'!$B$6="Poor",('BMP Suitability 01'!AA22*'BMP Removal Rates'!AA$41)/100, IF('(STEP 1) Baseline Conditions'!$B$6="Average", ('BMP Suitability 01'!AA22*'BMP Removal Rates'!AA$42)/100, IF('(STEP 1) Baseline Conditions'!$B$6="Best",('BMP Suitability 01'!AA22*'BMP Removal Rates'!AA$38)/100)))</f>
        <v>0</v>
      </c>
      <c r="AB22" s="110">
        <f>IF('(STEP 1) Baseline Conditions'!$B$6="Poor",('BMP Suitability 01'!AB22*'BMP Removal Rates'!AB$41)/100, IF('(STEP 1) Baseline Conditions'!$B$6="Average", ('BMP Suitability 01'!AB22*'BMP Removal Rates'!AB$42)/100, IF('(STEP 1) Baseline Conditions'!$B$6="Best",('BMP Suitability 01'!AB22*'BMP Removal Rates'!AB$38)/100)))</f>
        <v>0.55437499999999995</v>
      </c>
      <c r="AC22" s="110">
        <f>IF('(STEP 1) Baseline Conditions'!$B$6="Poor",('BMP Suitability 01'!AC22*'BMP Removal Rates'!AC$41)/100, IF('(STEP 1) Baseline Conditions'!$B$6="Average", ('BMP Suitability 01'!AC22*'BMP Removal Rates'!AC$42)/100, IF('(STEP 1) Baseline Conditions'!$B$6="Best",('BMP Suitability 01'!AC22*'BMP Removal Rates'!AC$38)/100)))</f>
        <v>0.62</v>
      </c>
    </row>
    <row r="23" spans="1:29" x14ac:dyDescent="0.25">
      <c r="A23" s="3" t="s">
        <v>38</v>
      </c>
      <c r="B23" s="45">
        <f>IF(INDEX('Dosskey Coefficients'!$N$2:$N$20,MATCH('(STEP 1) Baseline Conditions'!$B$14,'Dosskey Coefficients'!$K$2:$K$20,0),0)&lt;0,('BMP Suitability 01'!B23*'BMP Removal Rates'!$B$38)/100, 'BMP Suitability 01'!B23*'BMP Removal Rates'!$B$39/100)</f>
        <v>0</v>
      </c>
      <c r="C23" s="45">
        <f>IF(INDEX('Dosskey Coefficients'!$N$2:$N$20,MATCH('(STEP 1) Baseline Conditions'!$B$14,'Dosskey Coefficients'!$K$2:$K$20,0),0)&lt;0,('BMP Suitability 01'!C23*$C$38)/100, 'BMP Suitability 01'!C23*$C$39/100)</f>
        <v>0</v>
      </c>
      <c r="D23" s="45">
        <f>('BMP Suitability 01'!D23*'BMP Removal Rates'!$D$38)/100</f>
        <v>0.62</v>
      </c>
      <c r="E23" s="45">
        <f>('BMP Suitability 01'!E23*'BMP Removal Rates'!$E$38)/100</f>
        <v>0.38500000000000001</v>
      </c>
      <c r="F23" s="45">
        <f>('BMP Suitability 01'!F23*'BMP Removal Rates'!$F$38)/100</f>
        <v>0.4</v>
      </c>
      <c r="G23" s="45">
        <f>('BMP Suitability 01'!G23*'BMP Removal Rates'!$G$38)/100</f>
        <v>0.75</v>
      </c>
      <c r="H23" s="45">
        <f>('BMP Suitability 01'!H23*'BMP Removal Rates'!$H$38)/100</f>
        <v>0</v>
      </c>
      <c r="I23" s="45">
        <f>('BMP Suitability 01'!I23*'BMP Removal Rates'!$I$38)/100</f>
        <v>0</v>
      </c>
      <c r="J23" s="45">
        <f>('BMP Suitability 01'!J23*'BMP Removal Rates'!$J$38)/100</f>
        <v>0.9</v>
      </c>
      <c r="K23" s="45">
        <f>('BMP Suitability 01'!K23*'BMP Removal Rates'!$K$38)/100</f>
        <v>0.75</v>
      </c>
      <c r="L23" s="45">
        <f>('BMP Suitability 01'!L23*'BMP Removal Rates'!$L$38)/100</f>
        <v>0</v>
      </c>
      <c r="M23" s="45">
        <f>('BMP Suitability 01'!M23*'BMP Removal Rates'!$M$38)/100</f>
        <v>0</v>
      </c>
      <c r="N23" s="110">
        <f>IF('(STEP 1) Baseline Conditions'!$B$6="Poor",('BMP Suitability 01'!N23*'BMP Removal Rates'!N$41)/100, IF('(STEP 1) Baseline Conditions'!$B$6="Average", ('BMP Suitability 01'!N23*'BMP Removal Rates'!N$42)/100, IF('(STEP 1) Baseline Conditions'!$B$6="Best",('BMP Suitability 01'!N23*'BMP Removal Rates'!N$38)/100)))</f>
        <v>0.82</v>
      </c>
      <c r="O23" s="110">
        <f>IF('(STEP 1) Baseline Conditions'!$B$6="Poor",('BMP Suitability 01'!O23*'BMP Removal Rates'!O$41)/100, IF('(STEP 1) Baseline Conditions'!$B$6="Average", ('BMP Suitability 01'!O23*'BMP Removal Rates'!O$42)/100, IF('(STEP 1) Baseline Conditions'!$B$6="Best",('BMP Suitability 01'!O23*'BMP Removal Rates'!O$38)/100)))</f>
        <v>0.21</v>
      </c>
      <c r="P23" s="110">
        <f>IF('(STEP 1) Baseline Conditions'!$B$6="Poor",('BMP Suitability 01'!P23*'BMP Removal Rates'!P$41)/100, IF('(STEP 1) Baseline Conditions'!$B$6="Average", ('BMP Suitability 01'!P23*'BMP Removal Rates'!P$42)/100, IF('(STEP 1) Baseline Conditions'!$B$6="Best",('BMP Suitability 01'!P23*'BMP Removal Rates'!P$38)/100)))</f>
        <v>0</v>
      </c>
      <c r="Q23" s="110">
        <f>IF('(STEP 1) Baseline Conditions'!$B$6="Poor",('BMP Suitability 01'!Q23*'BMP Removal Rates'!Q$41)/100, IF('(STEP 1) Baseline Conditions'!$B$6="Average", ('BMP Suitability 01'!Q23*'BMP Removal Rates'!Q$42)/100, IF('(STEP 1) Baseline Conditions'!$B$6="Best",('BMP Suitability 01'!Q23*'BMP Removal Rates'!Q$38)/100)))</f>
        <v>0</v>
      </c>
      <c r="R23" s="110">
        <f>IF('(STEP 1) Baseline Conditions'!$B$6="Poor",('BMP Suitability 01'!R23*'BMP Removal Rates'!R$41)/100, IF('(STEP 1) Baseline Conditions'!$B$6="Average", ('BMP Suitability 01'!R23*'BMP Removal Rates'!R$42)/100, IF('(STEP 1) Baseline Conditions'!$B$6="Best",('BMP Suitability 01'!R23*'BMP Removal Rates'!R$38)/100)))</f>
        <v>0</v>
      </c>
      <c r="S23" s="110">
        <f>IF('(STEP 1) Baseline Conditions'!$B$6="Poor",('BMP Suitability 01'!S23*'BMP Removal Rates'!S$41)/100, IF('(STEP 1) Baseline Conditions'!$B$6="Average", ('BMP Suitability 01'!S23*'BMP Removal Rates'!S$42)/100, IF('(STEP 1) Baseline Conditions'!$B$6="Best",('BMP Suitability 01'!S23*'BMP Removal Rates'!S$38)/100)))</f>
        <v>0</v>
      </c>
      <c r="T23" s="110">
        <f>IF('(STEP 1) Baseline Conditions'!$B$6="Poor",('BMP Suitability 01'!T23*'BMP Removal Rates'!T$41)/100, IF('(STEP 1) Baseline Conditions'!$B$6="Average", ('BMP Suitability 01'!T23*'BMP Removal Rates'!T$42)/100, IF('(STEP 1) Baseline Conditions'!$B$6="Best",('BMP Suitability 01'!T23*'BMP Removal Rates'!T$38)/100)))</f>
        <v>0.79749999999999999</v>
      </c>
      <c r="U23" s="110">
        <f>IF('(STEP 1) Baseline Conditions'!$B$6="Poor",('BMP Suitability 01'!U23*'BMP Removal Rates'!U$41)/100, IF('(STEP 1) Baseline Conditions'!$B$6="Average", ('BMP Suitability 01'!U23*'BMP Removal Rates'!U$42)/100, IF('(STEP 1) Baseline Conditions'!$B$6="Best",('BMP Suitability 01'!U23*'BMP Removal Rates'!U$38)/100)))</f>
        <v>0.52500000000000002</v>
      </c>
      <c r="V23" s="110">
        <f>IF('(STEP 1) Baseline Conditions'!$B$6="Poor",('BMP Suitability 01'!V23*'BMP Removal Rates'!V$41)/100, IF('(STEP 1) Baseline Conditions'!$B$6="Average", ('BMP Suitability 01'!V23*'BMP Removal Rates'!V$42)/100, IF('(STEP 1) Baseline Conditions'!$B$6="Best",('BMP Suitability 01'!V23*'BMP Removal Rates'!V$38)/100)))</f>
        <v>0.72750000000000004</v>
      </c>
      <c r="W23" s="110">
        <f>IF('(STEP 1) Baseline Conditions'!$B$6="Poor",('BMP Suitability 01'!W23*'BMP Removal Rates'!W$41)/100, IF('(STEP 1) Baseline Conditions'!$B$6="Average", ('BMP Suitability 01'!W23*'BMP Removal Rates'!W$42)/100, IF('(STEP 1) Baseline Conditions'!$B$6="Best",('BMP Suitability 01'!W23*'BMP Removal Rates'!W$38)/100)))</f>
        <v>0.755</v>
      </c>
      <c r="X23" s="110">
        <f>IF('(STEP 1) Baseline Conditions'!$B$6="Poor",('BMP Suitability 01'!X23*'BMP Removal Rates'!X$41)/100, IF('(STEP 1) Baseline Conditions'!$B$6="Average", ('BMP Suitability 01'!X23*'BMP Removal Rates'!X$42)/100, IF('(STEP 1) Baseline Conditions'!$B$6="Best",('BMP Suitability 01'!X23*'BMP Removal Rates'!X$38)/100)))</f>
        <v>0</v>
      </c>
      <c r="Y23" s="110">
        <f>IF('(STEP 1) Baseline Conditions'!$B$6="Poor",('BMP Suitability 01'!Y23*'BMP Removal Rates'!Y$41)/100, IF('(STEP 1) Baseline Conditions'!$B$6="Average", ('BMP Suitability 01'!Y23*'BMP Removal Rates'!Y$42)/100, IF('(STEP 1) Baseline Conditions'!$B$6="Best",('BMP Suitability 01'!Y23*'BMP Removal Rates'!Y$38)/100)))</f>
        <v>0</v>
      </c>
      <c r="Z23" s="110">
        <f>IF('(STEP 1) Baseline Conditions'!$B$6="Poor",('BMP Suitability 01'!Z23*'BMP Removal Rates'!Z$41)/100, IF('(STEP 1) Baseline Conditions'!$B$6="Average", ('BMP Suitability 01'!Z23*'BMP Removal Rates'!Z$42)/100, IF('(STEP 1) Baseline Conditions'!$B$6="Best",('BMP Suitability 01'!Z23*'BMP Removal Rates'!Z$38)/100)))</f>
        <v>0.75</v>
      </c>
      <c r="AA23" s="110">
        <f>IF('(STEP 1) Baseline Conditions'!$B$6="Poor",('BMP Suitability 01'!AA23*'BMP Removal Rates'!AA$41)/100, IF('(STEP 1) Baseline Conditions'!$B$6="Average", ('BMP Suitability 01'!AA23*'BMP Removal Rates'!AA$42)/100, IF('(STEP 1) Baseline Conditions'!$B$6="Best",('BMP Suitability 01'!AA23*'BMP Removal Rates'!AA$38)/100)))</f>
        <v>0.71750000000000003</v>
      </c>
      <c r="AB23" s="110">
        <f>IF('(STEP 1) Baseline Conditions'!$B$6="Poor",('BMP Suitability 01'!AB23*'BMP Removal Rates'!AB$41)/100, IF('(STEP 1) Baseline Conditions'!$B$6="Average", ('BMP Suitability 01'!AB23*'BMP Removal Rates'!AB$42)/100, IF('(STEP 1) Baseline Conditions'!$B$6="Best",('BMP Suitability 01'!AB23*'BMP Removal Rates'!AB$38)/100)))</f>
        <v>0.55437499999999995</v>
      </c>
      <c r="AC23" s="110">
        <f>IF('(STEP 1) Baseline Conditions'!$B$6="Poor",('BMP Suitability 01'!AC23*'BMP Removal Rates'!AC$41)/100, IF('(STEP 1) Baseline Conditions'!$B$6="Average", ('BMP Suitability 01'!AC23*'BMP Removal Rates'!AC$42)/100, IF('(STEP 1) Baseline Conditions'!$B$6="Best",('BMP Suitability 01'!AC23*'BMP Removal Rates'!AC$38)/100)))</f>
        <v>0.62</v>
      </c>
    </row>
    <row r="24" spans="1:29" x14ac:dyDescent="0.25">
      <c r="A24" s="3" t="s">
        <v>39</v>
      </c>
      <c r="B24" s="45">
        <f>IF(INDEX('Dosskey Coefficients'!$N$2:$N$20,MATCH('(STEP 1) Baseline Conditions'!$B$14,'Dosskey Coefficients'!$K$2:$K$20,0),0)&lt;0,('BMP Suitability 01'!B24*'BMP Removal Rates'!$B$38)/100, 'BMP Suitability 01'!B24*'BMP Removal Rates'!$B$39/100)</f>
        <v>0.87</v>
      </c>
      <c r="C24" s="45">
        <f>IF(INDEX('Dosskey Coefficients'!$N$2:$N$20,MATCH('(STEP 1) Baseline Conditions'!$B$14,'Dosskey Coefficients'!$K$2:$K$20,0),0)&lt;0,('BMP Suitability 01'!C24*$C$38)/100, 'BMP Suitability 01'!C24*$C$39/100)</f>
        <v>0.64500000000000002</v>
      </c>
      <c r="D24" s="45">
        <f>('BMP Suitability 01'!D24*'BMP Removal Rates'!$D$38)/100</f>
        <v>0.62</v>
      </c>
      <c r="E24" s="45">
        <f>('BMP Suitability 01'!E24*'BMP Removal Rates'!$E$38)/100</f>
        <v>0.38500000000000001</v>
      </c>
      <c r="F24" s="45">
        <f>('BMP Suitability 01'!F24*'BMP Removal Rates'!$F$38)/100</f>
        <v>0.4</v>
      </c>
      <c r="G24" s="45">
        <f>('BMP Suitability 01'!G24*'BMP Removal Rates'!$G$38)/100</f>
        <v>0.75</v>
      </c>
      <c r="H24" s="45">
        <f>('BMP Suitability 01'!H24*'BMP Removal Rates'!$H$38)/100</f>
        <v>0.95</v>
      </c>
      <c r="I24" s="45">
        <f>('BMP Suitability 01'!I24*'BMP Removal Rates'!$I$38)/100</f>
        <v>0.85</v>
      </c>
      <c r="J24" s="45">
        <f>('BMP Suitability 01'!J24*'BMP Removal Rates'!$J$38)/100</f>
        <v>0.9</v>
      </c>
      <c r="K24" s="45">
        <f>('BMP Suitability 01'!K24*'BMP Removal Rates'!$K$38)/100</f>
        <v>0.75</v>
      </c>
      <c r="L24" s="45">
        <f>('BMP Suitability 01'!L24*'BMP Removal Rates'!$L$38)/100</f>
        <v>0</v>
      </c>
      <c r="M24" s="45">
        <f>('BMP Suitability 01'!M24*'BMP Removal Rates'!$M$38)/100</f>
        <v>0</v>
      </c>
      <c r="N24" s="110">
        <f>IF('(STEP 1) Baseline Conditions'!$B$6="Poor",('BMP Suitability 01'!N24*'BMP Removal Rates'!N$41)/100, IF('(STEP 1) Baseline Conditions'!$B$6="Average", ('BMP Suitability 01'!N24*'BMP Removal Rates'!N$42)/100, IF('(STEP 1) Baseline Conditions'!$B$6="Best",('BMP Suitability 01'!N24*'BMP Removal Rates'!N$38)/100)))</f>
        <v>0.82</v>
      </c>
      <c r="O24" s="110">
        <f>IF('(STEP 1) Baseline Conditions'!$B$6="Poor",('BMP Suitability 01'!O24*'BMP Removal Rates'!O$41)/100, IF('(STEP 1) Baseline Conditions'!$B$6="Average", ('BMP Suitability 01'!O24*'BMP Removal Rates'!O$42)/100, IF('(STEP 1) Baseline Conditions'!$B$6="Best",('BMP Suitability 01'!O24*'BMP Removal Rates'!O$38)/100)))</f>
        <v>0.21</v>
      </c>
      <c r="P24" s="110">
        <f>IF('(STEP 1) Baseline Conditions'!$B$6="Poor",('BMP Suitability 01'!P24*'BMP Removal Rates'!P$41)/100, IF('(STEP 1) Baseline Conditions'!$B$6="Average", ('BMP Suitability 01'!P24*'BMP Removal Rates'!P$42)/100, IF('(STEP 1) Baseline Conditions'!$B$6="Best",('BMP Suitability 01'!P24*'BMP Removal Rates'!P$38)/100)))</f>
        <v>0.83750000000000002</v>
      </c>
      <c r="Q24" s="110">
        <f>IF('(STEP 1) Baseline Conditions'!$B$6="Poor",('BMP Suitability 01'!Q24*'BMP Removal Rates'!Q$41)/100, IF('(STEP 1) Baseline Conditions'!$B$6="Average", ('BMP Suitability 01'!Q24*'BMP Removal Rates'!Q$42)/100, IF('(STEP 1) Baseline Conditions'!$B$6="Best",('BMP Suitability 01'!Q24*'BMP Removal Rates'!Q$38)/100)))</f>
        <v>0.73750000000000004</v>
      </c>
      <c r="R24" s="110">
        <f>IF('(STEP 1) Baseline Conditions'!$B$6="Poor",('BMP Suitability 01'!R24*'BMP Removal Rates'!R$41)/100, IF('(STEP 1) Baseline Conditions'!$B$6="Average", ('BMP Suitability 01'!R24*'BMP Removal Rates'!R$42)/100, IF('(STEP 1) Baseline Conditions'!$B$6="Best",('BMP Suitability 01'!R24*'BMP Removal Rates'!R$38)/100)))</f>
        <v>0</v>
      </c>
      <c r="S24" s="110">
        <f>IF('(STEP 1) Baseline Conditions'!$B$6="Poor",('BMP Suitability 01'!S24*'BMP Removal Rates'!S$41)/100, IF('(STEP 1) Baseline Conditions'!$B$6="Average", ('BMP Suitability 01'!S24*'BMP Removal Rates'!S$42)/100, IF('(STEP 1) Baseline Conditions'!$B$6="Best",('BMP Suitability 01'!S24*'BMP Removal Rates'!S$38)/100)))</f>
        <v>0</v>
      </c>
      <c r="T24" s="110">
        <f>IF('(STEP 1) Baseline Conditions'!$B$6="Poor",('BMP Suitability 01'!T24*'BMP Removal Rates'!T$41)/100, IF('(STEP 1) Baseline Conditions'!$B$6="Average", ('BMP Suitability 01'!T24*'BMP Removal Rates'!T$42)/100, IF('(STEP 1) Baseline Conditions'!$B$6="Best",('BMP Suitability 01'!T24*'BMP Removal Rates'!T$38)/100)))</f>
        <v>0.79749999999999999</v>
      </c>
      <c r="U24" s="110">
        <f>IF('(STEP 1) Baseline Conditions'!$B$6="Poor",('BMP Suitability 01'!U24*'BMP Removal Rates'!U$41)/100, IF('(STEP 1) Baseline Conditions'!$B$6="Average", ('BMP Suitability 01'!U24*'BMP Removal Rates'!U$42)/100, IF('(STEP 1) Baseline Conditions'!$B$6="Best",('BMP Suitability 01'!U24*'BMP Removal Rates'!U$38)/100)))</f>
        <v>0.52500000000000002</v>
      </c>
      <c r="V24" s="110">
        <f>IF('(STEP 1) Baseline Conditions'!$B$6="Poor",('BMP Suitability 01'!V24*'BMP Removal Rates'!V$41)/100, IF('(STEP 1) Baseline Conditions'!$B$6="Average", ('BMP Suitability 01'!V24*'BMP Removal Rates'!V$42)/100, IF('(STEP 1) Baseline Conditions'!$B$6="Best",('BMP Suitability 01'!V24*'BMP Removal Rates'!V$38)/100)))</f>
        <v>0.72750000000000004</v>
      </c>
      <c r="W24" s="110">
        <f>IF('(STEP 1) Baseline Conditions'!$B$6="Poor",('BMP Suitability 01'!W24*'BMP Removal Rates'!W$41)/100, IF('(STEP 1) Baseline Conditions'!$B$6="Average", ('BMP Suitability 01'!W24*'BMP Removal Rates'!W$42)/100, IF('(STEP 1) Baseline Conditions'!$B$6="Best",('BMP Suitability 01'!W24*'BMP Removal Rates'!W$38)/100)))</f>
        <v>0.755</v>
      </c>
      <c r="X24" s="110">
        <f>IF('(STEP 1) Baseline Conditions'!$B$6="Poor",('BMP Suitability 01'!X24*'BMP Removal Rates'!X$41)/100, IF('(STEP 1) Baseline Conditions'!$B$6="Average", ('BMP Suitability 01'!X24*'BMP Removal Rates'!X$42)/100, IF('(STEP 1) Baseline Conditions'!$B$6="Best",('BMP Suitability 01'!X24*'BMP Removal Rates'!X$38)/100)))</f>
        <v>0</v>
      </c>
      <c r="Y24" s="110">
        <f>IF('(STEP 1) Baseline Conditions'!$B$6="Poor",('BMP Suitability 01'!Y24*'BMP Removal Rates'!Y$41)/100, IF('(STEP 1) Baseline Conditions'!$B$6="Average", ('BMP Suitability 01'!Y24*'BMP Removal Rates'!Y$42)/100, IF('(STEP 1) Baseline Conditions'!$B$6="Best",('BMP Suitability 01'!Y24*'BMP Removal Rates'!Y$38)/100)))</f>
        <v>0</v>
      </c>
      <c r="Z24" s="110">
        <f>IF('(STEP 1) Baseline Conditions'!$B$6="Poor",('BMP Suitability 01'!Z24*'BMP Removal Rates'!Z$41)/100, IF('(STEP 1) Baseline Conditions'!$B$6="Average", ('BMP Suitability 01'!Z24*'BMP Removal Rates'!Z$42)/100, IF('(STEP 1) Baseline Conditions'!$B$6="Best",('BMP Suitability 01'!Z24*'BMP Removal Rates'!Z$38)/100)))</f>
        <v>0.75</v>
      </c>
      <c r="AA24" s="110">
        <f>IF('(STEP 1) Baseline Conditions'!$B$6="Poor",('BMP Suitability 01'!AA24*'BMP Removal Rates'!AA$41)/100, IF('(STEP 1) Baseline Conditions'!$B$6="Average", ('BMP Suitability 01'!AA24*'BMP Removal Rates'!AA$42)/100, IF('(STEP 1) Baseline Conditions'!$B$6="Best",('BMP Suitability 01'!AA24*'BMP Removal Rates'!AA$38)/100)))</f>
        <v>0.71750000000000003</v>
      </c>
      <c r="AB24" s="110">
        <f>IF('(STEP 1) Baseline Conditions'!$B$6="Poor",('BMP Suitability 01'!AB24*'BMP Removal Rates'!AB$41)/100, IF('(STEP 1) Baseline Conditions'!$B$6="Average", ('BMP Suitability 01'!AB24*'BMP Removal Rates'!AB$42)/100, IF('(STEP 1) Baseline Conditions'!$B$6="Best",('BMP Suitability 01'!AB24*'BMP Removal Rates'!AB$38)/100)))</f>
        <v>0</v>
      </c>
      <c r="AC24" s="110">
        <f>IF('(STEP 1) Baseline Conditions'!$B$6="Poor",('BMP Suitability 01'!AC24*'BMP Removal Rates'!AC$41)/100, IF('(STEP 1) Baseline Conditions'!$B$6="Average", ('BMP Suitability 01'!AC24*'BMP Removal Rates'!AC$42)/100, IF('(STEP 1) Baseline Conditions'!$B$6="Best",('BMP Suitability 01'!AC24*'BMP Removal Rates'!AC$38)/100)))</f>
        <v>0</v>
      </c>
    </row>
    <row r="25" spans="1:29" x14ac:dyDescent="0.25">
      <c r="A25" s="3" t="s">
        <v>40</v>
      </c>
      <c r="B25" s="45">
        <f>IF(INDEX('Dosskey Coefficients'!$N$2:$N$20,MATCH('(STEP 1) Baseline Conditions'!$B$14,'Dosskey Coefficients'!$K$2:$K$20,0),0)&lt;0,('BMP Suitability 01'!B25*'BMP Removal Rates'!$B$38)/100, 'BMP Suitability 01'!B25*'BMP Removal Rates'!$B$39/100)</f>
        <v>0</v>
      </c>
      <c r="C25" s="45">
        <f>IF(INDEX('Dosskey Coefficients'!$N$2:$N$20,MATCH('(STEP 1) Baseline Conditions'!$B$14,'Dosskey Coefficients'!$K$2:$K$20,0),0)&lt;0,('BMP Suitability 01'!C25*$C$38)/100, 'BMP Suitability 01'!C25*$C$39/100)</f>
        <v>0</v>
      </c>
      <c r="D25" s="45">
        <f>('BMP Suitability 01'!D25*'BMP Removal Rates'!$D$38)/100</f>
        <v>0.62</v>
      </c>
      <c r="E25" s="45">
        <f>('BMP Suitability 01'!E25*'BMP Removal Rates'!$E$38)/100</f>
        <v>0.38500000000000001</v>
      </c>
      <c r="F25" s="45">
        <f>('BMP Suitability 01'!F25*'BMP Removal Rates'!$F$38)/100</f>
        <v>0.4</v>
      </c>
      <c r="G25" s="45">
        <f>('BMP Suitability 01'!G25*'BMP Removal Rates'!$G$38)/100</f>
        <v>0.75</v>
      </c>
      <c r="H25" s="45">
        <f>('BMP Suitability 01'!H25*'BMP Removal Rates'!$H$38)/100</f>
        <v>0</v>
      </c>
      <c r="I25" s="45">
        <f>('BMP Suitability 01'!I25*'BMP Removal Rates'!$I$38)/100</f>
        <v>0</v>
      </c>
      <c r="J25" s="45">
        <f>('BMP Suitability 01'!J25*'BMP Removal Rates'!$J$38)/100</f>
        <v>0.9</v>
      </c>
      <c r="K25" s="45">
        <f>('BMP Suitability 01'!K25*'BMP Removal Rates'!$K$38)/100</f>
        <v>0.75</v>
      </c>
      <c r="L25" s="45">
        <f>('BMP Suitability 01'!L25*'BMP Removal Rates'!$L$38)/100</f>
        <v>0</v>
      </c>
      <c r="M25" s="45">
        <f>('BMP Suitability 01'!M25*'BMP Removal Rates'!$M$38)/100</f>
        <v>0</v>
      </c>
      <c r="N25" s="110">
        <f>IF('(STEP 1) Baseline Conditions'!$B$6="Poor",('BMP Suitability 01'!N25*'BMP Removal Rates'!N$41)/100, IF('(STEP 1) Baseline Conditions'!$B$6="Average", ('BMP Suitability 01'!N25*'BMP Removal Rates'!N$42)/100, IF('(STEP 1) Baseline Conditions'!$B$6="Best",('BMP Suitability 01'!N25*'BMP Removal Rates'!N$38)/100)))</f>
        <v>0</v>
      </c>
      <c r="O25" s="110">
        <f>IF('(STEP 1) Baseline Conditions'!$B$6="Poor",('BMP Suitability 01'!O25*'BMP Removal Rates'!O$41)/100, IF('(STEP 1) Baseline Conditions'!$B$6="Average", ('BMP Suitability 01'!O25*'BMP Removal Rates'!O$42)/100, IF('(STEP 1) Baseline Conditions'!$B$6="Best",('BMP Suitability 01'!O25*'BMP Removal Rates'!O$38)/100)))</f>
        <v>0</v>
      </c>
      <c r="P25" s="110">
        <f>IF('(STEP 1) Baseline Conditions'!$B$6="Poor",('BMP Suitability 01'!P25*'BMP Removal Rates'!P$41)/100, IF('(STEP 1) Baseline Conditions'!$B$6="Average", ('BMP Suitability 01'!P25*'BMP Removal Rates'!P$42)/100, IF('(STEP 1) Baseline Conditions'!$B$6="Best",('BMP Suitability 01'!P25*'BMP Removal Rates'!P$38)/100)))</f>
        <v>0</v>
      </c>
      <c r="Q25" s="110">
        <f>IF('(STEP 1) Baseline Conditions'!$B$6="Poor",('BMP Suitability 01'!Q25*'BMP Removal Rates'!Q$41)/100, IF('(STEP 1) Baseline Conditions'!$B$6="Average", ('BMP Suitability 01'!Q25*'BMP Removal Rates'!Q$42)/100, IF('(STEP 1) Baseline Conditions'!$B$6="Best",('BMP Suitability 01'!Q25*'BMP Removal Rates'!Q$38)/100)))</f>
        <v>0</v>
      </c>
      <c r="R25" s="110">
        <f>IF('(STEP 1) Baseline Conditions'!$B$6="Poor",('BMP Suitability 01'!R25*'BMP Removal Rates'!R$41)/100, IF('(STEP 1) Baseline Conditions'!$B$6="Average", ('BMP Suitability 01'!R25*'BMP Removal Rates'!R$42)/100, IF('(STEP 1) Baseline Conditions'!$B$6="Best",('BMP Suitability 01'!R25*'BMP Removal Rates'!R$38)/100)))</f>
        <v>0</v>
      </c>
      <c r="S25" s="110">
        <f>IF('(STEP 1) Baseline Conditions'!$B$6="Poor",('BMP Suitability 01'!S25*'BMP Removal Rates'!S$41)/100, IF('(STEP 1) Baseline Conditions'!$B$6="Average", ('BMP Suitability 01'!S25*'BMP Removal Rates'!S$42)/100, IF('(STEP 1) Baseline Conditions'!$B$6="Best",('BMP Suitability 01'!S25*'BMP Removal Rates'!S$38)/100)))</f>
        <v>0</v>
      </c>
      <c r="T25" s="110">
        <f>IF('(STEP 1) Baseline Conditions'!$B$6="Poor",('BMP Suitability 01'!T25*'BMP Removal Rates'!T$41)/100, IF('(STEP 1) Baseline Conditions'!$B$6="Average", ('BMP Suitability 01'!T25*'BMP Removal Rates'!T$42)/100, IF('(STEP 1) Baseline Conditions'!$B$6="Best",('BMP Suitability 01'!T25*'BMP Removal Rates'!T$38)/100)))</f>
        <v>0.79749999999999999</v>
      </c>
      <c r="U25" s="110">
        <f>IF('(STEP 1) Baseline Conditions'!$B$6="Poor",('BMP Suitability 01'!U25*'BMP Removal Rates'!U$41)/100, IF('(STEP 1) Baseline Conditions'!$B$6="Average", ('BMP Suitability 01'!U25*'BMP Removal Rates'!U$42)/100, IF('(STEP 1) Baseline Conditions'!$B$6="Best",('BMP Suitability 01'!U25*'BMP Removal Rates'!U$38)/100)))</f>
        <v>0.52500000000000002</v>
      </c>
      <c r="V25" s="110">
        <f>IF('(STEP 1) Baseline Conditions'!$B$6="Poor",('BMP Suitability 01'!V25*'BMP Removal Rates'!V$41)/100, IF('(STEP 1) Baseline Conditions'!$B$6="Average", ('BMP Suitability 01'!V25*'BMP Removal Rates'!V$42)/100, IF('(STEP 1) Baseline Conditions'!$B$6="Best",('BMP Suitability 01'!V25*'BMP Removal Rates'!V$38)/100)))</f>
        <v>0</v>
      </c>
      <c r="W25" s="110">
        <f>IF('(STEP 1) Baseline Conditions'!$B$6="Poor",('BMP Suitability 01'!W25*'BMP Removal Rates'!W$41)/100, IF('(STEP 1) Baseline Conditions'!$B$6="Average", ('BMP Suitability 01'!W25*'BMP Removal Rates'!W$42)/100, IF('(STEP 1) Baseline Conditions'!$B$6="Best",('BMP Suitability 01'!W25*'BMP Removal Rates'!W$38)/100)))</f>
        <v>0</v>
      </c>
      <c r="X25" s="110">
        <f>IF('(STEP 1) Baseline Conditions'!$B$6="Poor",('BMP Suitability 01'!X25*'BMP Removal Rates'!X$41)/100, IF('(STEP 1) Baseline Conditions'!$B$6="Average", ('BMP Suitability 01'!X25*'BMP Removal Rates'!X$42)/100, IF('(STEP 1) Baseline Conditions'!$B$6="Best",('BMP Suitability 01'!X25*'BMP Removal Rates'!X$38)/100)))</f>
        <v>0</v>
      </c>
      <c r="Y25" s="110">
        <f>IF('(STEP 1) Baseline Conditions'!$B$6="Poor",('BMP Suitability 01'!Y25*'BMP Removal Rates'!Y$41)/100, IF('(STEP 1) Baseline Conditions'!$B$6="Average", ('BMP Suitability 01'!Y25*'BMP Removal Rates'!Y$42)/100, IF('(STEP 1) Baseline Conditions'!$B$6="Best",('BMP Suitability 01'!Y25*'BMP Removal Rates'!Y$38)/100)))</f>
        <v>0</v>
      </c>
      <c r="Z25" s="110">
        <f>IF('(STEP 1) Baseline Conditions'!$B$6="Poor",('BMP Suitability 01'!Z25*'BMP Removal Rates'!Z$41)/100, IF('(STEP 1) Baseline Conditions'!$B$6="Average", ('BMP Suitability 01'!Z25*'BMP Removal Rates'!Z$42)/100, IF('(STEP 1) Baseline Conditions'!$B$6="Best",('BMP Suitability 01'!Z25*'BMP Removal Rates'!Z$38)/100)))</f>
        <v>0</v>
      </c>
      <c r="AA25" s="110">
        <f>IF('(STEP 1) Baseline Conditions'!$B$6="Poor",('BMP Suitability 01'!AA25*'BMP Removal Rates'!AA$41)/100, IF('(STEP 1) Baseline Conditions'!$B$6="Average", ('BMP Suitability 01'!AA25*'BMP Removal Rates'!AA$42)/100, IF('(STEP 1) Baseline Conditions'!$B$6="Best",('BMP Suitability 01'!AA25*'BMP Removal Rates'!AA$38)/100)))</f>
        <v>0</v>
      </c>
      <c r="AB25" s="110">
        <f>IF('(STEP 1) Baseline Conditions'!$B$6="Poor",('BMP Suitability 01'!AB25*'BMP Removal Rates'!AB$41)/100, IF('(STEP 1) Baseline Conditions'!$B$6="Average", ('BMP Suitability 01'!AB25*'BMP Removal Rates'!AB$42)/100, IF('(STEP 1) Baseline Conditions'!$B$6="Best",('BMP Suitability 01'!AB25*'BMP Removal Rates'!AB$38)/100)))</f>
        <v>0.55437499999999995</v>
      </c>
      <c r="AC25" s="110">
        <f>IF('(STEP 1) Baseline Conditions'!$B$6="Poor",('BMP Suitability 01'!AC25*'BMP Removal Rates'!AC$41)/100, IF('(STEP 1) Baseline Conditions'!$B$6="Average", ('BMP Suitability 01'!AC25*'BMP Removal Rates'!AC$42)/100, IF('(STEP 1) Baseline Conditions'!$B$6="Best",('BMP Suitability 01'!AC25*'BMP Removal Rates'!AC$38)/100)))</f>
        <v>0</v>
      </c>
    </row>
    <row r="26" spans="1:29" x14ac:dyDescent="0.25">
      <c r="A26" s="3" t="s">
        <v>41</v>
      </c>
      <c r="B26" s="45">
        <f>IF(INDEX('Dosskey Coefficients'!$N$2:$N$20,MATCH('(STEP 1) Baseline Conditions'!$B$14,'Dosskey Coefficients'!$K$2:$K$20,0),0)&lt;0,('BMP Suitability 01'!B26*'BMP Removal Rates'!$B$38)/100, 'BMP Suitability 01'!B26*'BMP Removal Rates'!$B$39/100)</f>
        <v>0</v>
      </c>
      <c r="C26" s="45">
        <f>IF(INDEX('Dosskey Coefficients'!$N$2:$N$20,MATCH('(STEP 1) Baseline Conditions'!$B$14,'Dosskey Coefficients'!$K$2:$K$20,0),0)&lt;0,('BMP Suitability 01'!C26*$C$38)/100, 'BMP Suitability 01'!C26*$C$39/100)</f>
        <v>0</v>
      </c>
      <c r="D26" s="45">
        <f>('BMP Suitability 01'!D26*'BMP Removal Rates'!$D$38)/100</f>
        <v>0.62</v>
      </c>
      <c r="E26" s="45">
        <f>('BMP Suitability 01'!E26*'BMP Removal Rates'!$E$38)/100</f>
        <v>0.38500000000000001</v>
      </c>
      <c r="F26" s="45">
        <f>('BMP Suitability 01'!F26*'BMP Removal Rates'!$F$38)/100</f>
        <v>0.4</v>
      </c>
      <c r="G26" s="45">
        <f>('BMP Suitability 01'!G26*'BMP Removal Rates'!$G$38)/100</f>
        <v>0.75</v>
      </c>
      <c r="H26" s="45">
        <f>('BMP Suitability 01'!H26*'BMP Removal Rates'!$H$38)/100</f>
        <v>0.95</v>
      </c>
      <c r="I26" s="45">
        <f>('BMP Suitability 01'!I26*'BMP Removal Rates'!$I$38)/100</f>
        <v>0.85</v>
      </c>
      <c r="J26" s="45">
        <f>('BMP Suitability 01'!J26*'BMP Removal Rates'!$J$38)/100</f>
        <v>0.9</v>
      </c>
      <c r="K26" s="45">
        <f>('BMP Suitability 01'!K26*'BMP Removal Rates'!$K$38)/100</f>
        <v>0.75</v>
      </c>
      <c r="L26" s="45">
        <f>('BMP Suitability 01'!L26*'BMP Removal Rates'!$L$38)/100</f>
        <v>0</v>
      </c>
      <c r="M26" s="45">
        <f>('BMP Suitability 01'!M26*'BMP Removal Rates'!$M$38)/100</f>
        <v>0</v>
      </c>
      <c r="N26" s="110">
        <f>IF('(STEP 1) Baseline Conditions'!$B$6="Poor",('BMP Suitability 01'!N26*'BMP Removal Rates'!N$41)/100, IF('(STEP 1) Baseline Conditions'!$B$6="Average", ('BMP Suitability 01'!N26*'BMP Removal Rates'!N$42)/100, IF('(STEP 1) Baseline Conditions'!$B$6="Best",('BMP Suitability 01'!N26*'BMP Removal Rates'!N$38)/100)))</f>
        <v>0.82</v>
      </c>
      <c r="O26" s="110">
        <f>IF('(STEP 1) Baseline Conditions'!$B$6="Poor",('BMP Suitability 01'!O26*'BMP Removal Rates'!O$41)/100, IF('(STEP 1) Baseline Conditions'!$B$6="Average", ('BMP Suitability 01'!O26*'BMP Removal Rates'!O$42)/100, IF('(STEP 1) Baseline Conditions'!$B$6="Best",('BMP Suitability 01'!O26*'BMP Removal Rates'!O$38)/100)))</f>
        <v>0.21</v>
      </c>
      <c r="P26" s="110">
        <f>IF('(STEP 1) Baseline Conditions'!$B$6="Poor",('BMP Suitability 01'!P26*'BMP Removal Rates'!P$41)/100, IF('(STEP 1) Baseline Conditions'!$B$6="Average", ('BMP Suitability 01'!P26*'BMP Removal Rates'!P$42)/100, IF('(STEP 1) Baseline Conditions'!$B$6="Best",('BMP Suitability 01'!P26*'BMP Removal Rates'!P$38)/100)))</f>
        <v>0.83750000000000002</v>
      </c>
      <c r="Q26" s="110">
        <f>IF('(STEP 1) Baseline Conditions'!$B$6="Poor",('BMP Suitability 01'!Q26*'BMP Removal Rates'!Q$41)/100, IF('(STEP 1) Baseline Conditions'!$B$6="Average", ('BMP Suitability 01'!Q26*'BMP Removal Rates'!Q$42)/100, IF('(STEP 1) Baseline Conditions'!$B$6="Best",('BMP Suitability 01'!Q26*'BMP Removal Rates'!Q$38)/100)))</f>
        <v>0.73750000000000004</v>
      </c>
      <c r="R26" s="110">
        <f>IF('(STEP 1) Baseline Conditions'!$B$6="Poor",('BMP Suitability 01'!R26*'BMP Removal Rates'!R$41)/100, IF('(STEP 1) Baseline Conditions'!$B$6="Average", ('BMP Suitability 01'!R26*'BMP Removal Rates'!R$42)/100, IF('(STEP 1) Baseline Conditions'!$B$6="Best",('BMP Suitability 01'!R26*'BMP Removal Rates'!R$38)/100)))</f>
        <v>0</v>
      </c>
      <c r="S26" s="110">
        <f>IF('(STEP 1) Baseline Conditions'!$B$6="Poor",('BMP Suitability 01'!S26*'BMP Removal Rates'!S$41)/100, IF('(STEP 1) Baseline Conditions'!$B$6="Average", ('BMP Suitability 01'!S26*'BMP Removal Rates'!S$42)/100, IF('(STEP 1) Baseline Conditions'!$B$6="Best",('BMP Suitability 01'!S26*'BMP Removal Rates'!S$38)/100)))</f>
        <v>0</v>
      </c>
      <c r="T26" s="110">
        <f>IF('(STEP 1) Baseline Conditions'!$B$6="Poor",('BMP Suitability 01'!T26*'BMP Removal Rates'!T$41)/100, IF('(STEP 1) Baseline Conditions'!$B$6="Average", ('BMP Suitability 01'!T26*'BMP Removal Rates'!T$42)/100, IF('(STEP 1) Baseline Conditions'!$B$6="Best",('BMP Suitability 01'!T26*'BMP Removal Rates'!T$38)/100)))</f>
        <v>0.79749999999999999</v>
      </c>
      <c r="U26" s="110">
        <f>IF('(STEP 1) Baseline Conditions'!$B$6="Poor",('BMP Suitability 01'!U26*'BMP Removal Rates'!U$41)/100, IF('(STEP 1) Baseline Conditions'!$B$6="Average", ('BMP Suitability 01'!U26*'BMP Removal Rates'!U$42)/100, IF('(STEP 1) Baseline Conditions'!$B$6="Best",('BMP Suitability 01'!U26*'BMP Removal Rates'!U$38)/100)))</f>
        <v>0.52500000000000002</v>
      </c>
      <c r="V26" s="110">
        <f>IF('(STEP 1) Baseline Conditions'!$B$6="Poor",('BMP Suitability 01'!V26*'BMP Removal Rates'!V$41)/100, IF('(STEP 1) Baseline Conditions'!$B$6="Average", ('BMP Suitability 01'!V26*'BMP Removal Rates'!V$42)/100, IF('(STEP 1) Baseline Conditions'!$B$6="Best",('BMP Suitability 01'!V26*'BMP Removal Rates'!V$38)/100)))</f>
        <v>0.72750000000000004</v>
      </c>
      <c r="W26" s="110">
        <f>IF('(STEP 1) Baseline Conditions'!$B$6="Poor",('BMP Suitability 01'!W26*'BMP Removal Rates'!W$41)/100, IF('(STEP 1) Baseline Conditions'!$B$6="Average", ('BMP Suitability 01'!W26*'BMP Removal Rates'!W$42)/100, IF('(STEP 1) Baseline Conditions'!$B$6="Best",('BMP Suitability 01'!W26*'BMP Removal Rates'!W$38)/100)))</f>
        <v>0.755</v>
      </c>
      <c r="X26" s="110">
        <f>IF('(STEP 1) Baseline Conditions'!$B$6="Poor",('BMP Suitability 01'!X26*'BMP Removal Rates'!X$41)/100, IF('(STEP 1) Baseline Conditions'!$B$6="Average", ('BMP Suitability 01'!X26*'BMP Removal Rates'!X$42)/100, IF('(STEP 1) Baseline Conditions'!$B$6="Best",('BMP Suitability 01'!X26*'BMP Removal Rates'!X$38)/100)))</f>
        <v>0</v>
      </c>
      <c r="Y26" s="110">
        <f>IF('(STEP 1) Baseline Conditions'!$B$6="Poor",('BMP Suitability 01'!Y26*'BMP Removal Rates'!Y$41)/100, IF('(STEP 1) Baseline Conditions'!$B$6="Average", ('BMP Suitability 01'!Y26*'BMP Removal Rates'!Y$42)/100, IF('(STEP 1) Baseline Conditions'!$B$6="Best",('BMP Suitability 01'!Y26*'BMP Removal Rates'!Y$38)/100)))</f>
        <v>0</v>
      </c>
      <c r="Z26" s="110">
        <f>IF('(STEP 1) Baseline Conditions'!$B$6="Poor",('BMP Suitability 01'!Z26*'BMP Removal Rates'!Z$41)/100, IF('(STEP 1) Baseline Conditions'!$B$6="Average", ('BMP Suitability 01'!Z26*'BMP Removal Rates'!Z$42)/100, IF('(STEP 1) Baseline Conditions'!$B$6="Best",('BMP Suitability 01'!Z26*'BMP Removal Rates'!Z$38)/100)))</f>
        <v>0.75</v>
      </c>
      <c r="AA26" s="110">
        <f>IF('(STEP 1) Baseline Conditions'!$B$6="Poor",('BMP Suitability 01'!AA26*'BMP Removal Rates'!AA$41)/100, IF('(STEP 1) Baseline Conditions'!$B$6="Average", ('BMP Suitability 01'!AA26*'BMP Removal Rates'!AA$42)/100, IF('(STEP 1) Baseline Conditions'!$B$6="Best",('BMP Suitability 01'!AA26*'BMP Removal Rates'!AA$38)/100)))</f>
        <v>0.71750000000000003</v>
      </c>
      <c r="AB26" s="110">
        <f>IF('(STEP 1) Baseline Conditions'!$B$6="Poor",('BMP Suitability 01'!AB26*'BMP Removal Rates'!AB$41)/100, IF('(STEP 1) Baseline Conditions'!$B$6="Average", ('BMP Suitability 01'!AB26*'BMP Removal Rates'!AB$42)/100, IF('(STEP 1) Baseline Conditions'!$B$6="Best",('BMP Suitability 01'!AB26*'BMP Removal Rates'!AB$38)/100)))</f>
        <v>0</v>
      </c>
      <c r="AC26" s="110">
        <f>IF('(STEP 1) Baseline Conditions'!$B$6="Poor",('BMP Suitability 01'!AC26*'BMP Removal Rates'!AC$41)/100, IF('(STEP 1) Baseline Conditions'!$B$6="Average", ('BMP Suitability 01'!AC26*'BMP Removal Rates'!AC$42)/100, IF('(STEP 1) Baseline Conditions'!$B$6="Best",('BMP Suitability 01'!AC26*'BMP Removal Rates'!AC$38)/100)))</f>
        <v>0.62</v>
      </c>
    </row>
    <row r="27" spans="1:29" x14ac:dyDescent="0.25">
      <c r="A27" s="3" t="s">
        <v>42</v>
      </c>
      <c r="B27" s="45">
        <f>IF(INDEX('Dosskey Coefficients'!$N$2:$N$20,MATCH('(STEP 1) Baseline Conditions'!$B$14,'Dosskey Coefficients'!$K$2:$K$20,0),0)&lt;0,('BMP Suitability 01'!B27*'BMP Removal Rates'!$B$38)/100, 'BMP Suitability 01'!B27*'BMP Removal Rates'!$B$39/100)</f>
        <v>0</v>
      </c>
      <c r="C27" s="45">
        <f>IF(INDEX('Dosskey Coefficients'!$N$2:$N$20,MATCH('(STEP 1) Baseline Conditions'!$B$14,'Dosskey Coefficients'!$K$2:$K$20,0),0)&lt;0,('BMP Suitability 01'!C27*$C$38)/100, 'BMP Suitability 01'!C27*$C$39/100)</f>
        <v>0</v>
      </c>
      <c r="D27" s="45">
        <f>('BMP Suitability 01'!D27*'BMP Removal Rates'!$D$38)/100</f>
        <v>0.62</v>
      </c>
      <c r="E27" s="45">
        <f>('BMP Suitability 01'!E27*'BMP Removal Rates'!$E$38)/100</f>
        <v>0.38500000000000001</v>
      </c>
      <c r="F27" s="45">
        <f>('BMP Suitability 01'!F27*'BMP Removal Rates'!$F$38)/100</f>
        <v>0.4</v>
      </c>
      <c r="G27" s="45">
        <f>('BMP Suitability 01'!G27*'BMP Removal Rates'!$G$38)/100</f>
        <v>0.75</v>
      </c>
      <c r="H27" s="45">
        <f>('BMP Suitability 01'!H27*'BMP Removal Rates'!$H$38)/100</f>
        <v>0.95</v>
      </c>
      <c r="I27" s="45">
        <f>('BMP Suitability 01'!I27*'BMP Removal Rates'!$I$38)/100</f>
        <v>0.85</v>
      </c>
      <c r="J27" s="45">
        <f>('BMP Suitability 01'!J27*'BMP Removal Rates'!$J$38)/100</f>
        <v>0.9</v>
      </c>
      <c r="K27" s="45">
        <f>('BMP Suitability 01'!K27*'BMP Removal Rates'!$K$38)/100</f>
        <v>0.75</v>
      </c>
      <c r="L27" s="45">
        <f>('BMP Suitability 01'!L27*'BMP Removal Rates'!$L$38)/100</f>
        <v>0</v>
      </c>
      <c r="M27" s="45">
        <f>('BMP Suitability 01'!M27*'BMP Removal Rates'!$M$38)/100</f>
        <v>0</v>
      </c>
      <c r="N27" s="110">
        <f>IF('(STEP 1) Baseline Conditions'!$B$6="Poor",('BMP Suitability 01'!N27*'BMP Removal Rates'!N$41)/100, IF('(STEP 1) Baseline Conditions'!$B$6="Average", ('BMP Suitability 01'!N27*'BMP Removal Rates'!N$42)/100, IF('(STEP 1) Baseline Conditions'!$B$6="Best",('BMP Suitability 01'!N27*'BMP Removal Rates'!N$38)/100)))</f>
        <v>0.82</v>
      </c>
      <c r="O27" s="110">
        <f>IF('(STEP 1) Baseline Conditions'!$B$6="Poor",('BMP Suitability 01'!O27*'BMP Removal Rates'!O$41)/100, IF('(STEP 1) Baseline Conditions'!$B$6="Average", ('BMP Suitability 01'!O27*'BMP Removal Rates'!O$42)/100, IF('(STEP 1) Baseline Conditions'!$B$6="Best",('BMP Suitability 01'!O27*'BMP Removal Rates'!O$38)/100)))</f>
        <v>0.21</v>
      </c>
      <c r="P27" s="110">
        <f>IF('(STEP 1) Baseline Conditions'!$B$6="Poor",('BMP Suitability 01'!P27*'BMP Removal Rates'!P$41)/100, IF('(STEP 1) Baseline Conditions'!$B$6="Average", ('BMP Suitability 01'!P27*'BMP Removal Rates'!P$42)/100, IF('(STEP 1) Baseline Conditions'!$B$6="Best",('BMP Suitability 01'!P27*'BMP Removal Rates'!P$38)/100)))</f>
        <v>0</v>
      </c>
      <c r="Q27" s="110">
        <f>IF('(STEP 1) Baseline Conditions'!$B$6="Poor",('BMP Suitability 01'!Q27*'BMP Removal Rates'!Q$41)/100, IF('(STEP 1) Baseline Conditions'!$B$6="Average", ('BMP Suitability 01'!Q27*'BMP Removal Rates'!Q$42)/100, IF('(STEP 1) Baseline Conditions'!$B$6="Best",('BMP Suitability 01'!Q27*'BMP Removal Rates'!Q$38)/100)))</f>
        <v>0</v>
      </c>
      <c r="R27" s="110">
        <f>IF('(STEP 1) Baseline Conditions'!$B$6="Poor",('BMP Suitability 01'!R27*'BMP Removal Rates'!R$41)/100, IF('(STEP 1) Baseline Conditions'!$B$6="Average", ('BMP Suitability 01'!R27*'BMP Removal Rates'!R$42)/100, IF('(STEP 1) Baseline Conditions'!$B$6="Best",('BMP Suitability 01'!R27*'BMP Removal Rates'!R$38)/100)))</f>
        <v>0</v>
      </c>
      <c r="S27" s="110">
        <f>IF('(STEP 1) Baseline Conditions'!$B$6="Poor",('BMP Suitability 01'!S27*'BMP Removal Rates'!S$41)/100, IF('(STEP 1) Baseline Conditions'!$B$6="Average", ('BMP Suitability 01'!S27*'BMP Removal Rates'!S$42)/100, IF('(STEP 1) Baseline Conditions'!$B$6="Best",('BMP Suitability 01'!S27*'BMP Removal Rates'!S$38)/100)))</f>
        <v>0</v>
      </c>
      <c r="T27" s="110">
        <f>IF('(STEP 1) Baseline Conditions'!$B$6="Poor",('BMP Suitability 01'!T27*'BMP Removal Rates'!T$41)/100, IF('(STEP 1) Baseline Conditions'!$B$6="Average", ('BMP Suitability 01'!T27*'BMP Removal Rates'!T$42)/100, IF('(STEP 1) Baseline Conditions'!$B$6="Best",('BMP Suitability 01'!T27*'BMP Removal Rates'!T$38)/100)))</f>
        <v>0.79749999999999999</v>
      </c>
      <c r="U27" s="110">
        <f>IF('(STEP 1) Baseline Conditions'!$B$6="Poor",('BMP Suitability 01'!U27*'BMP Removal Rates'!U$41)/100, IF('(STEP 1) Baseline Conditions'!$B$6="Average", ('BMP Suitability 01'!U27*'BMP Removal Rates'!U$42)/100, IF('(STEP 1) Baseline Conditions'!$B$6="Best",('BMP Suitability 01'!U27*'BMP Removal Rates'!U$38)/100)))</f>
        <v>0.52500000000000002</v>
      </c>
      <c r="V27" s="110">
        <f>IF('(STEP 1) Baseline Conditions'!$B$6="Poor",('BMP Suitability 01'!V27*'BMP Removal Rates'!V$41)/100, IF('(STEP 1) Baseline Conditions'!$B$6="Average", ('BMP Suitability 01'!V27*'BMP Removal Rates'!V$42)/100, IF('(STEP 1) Baseline Conditions'!$B$6="Best",('BMP Suitability 01'!V27*'BMP Removal Rates'!V$38)/100)))</f>
        <v>0.72750000000000004</v>
      </c>
      <c r="W27" s="110">
        <f>IF('(STEP 1) Baseline Conditions'!$B$6="Poor",('BMP Suitability 01'!W27*'BMP Removal Rates'!W$41)/100, IF('(STEP 1) Baseline Conditions'!$B$6="Average", ('BMP Suitability 01'!W27*'BMP Removal Rates'!W$42)/100, IF('(STEP 1) Baseline Conditions'!$B$6="Best",('BMP Suitability 01'!W27*'BMP Removal Rates'!W$38)/100)))</f>
        <v>0.755</v>
      </c>
      <c r="X27" s="110">
        <f>IF('(STEP 1) Baseline Conditions'!$B$6="Poor",('BMP Suitability 01'!X27*'BMP Removal Rates'!X$41)/100, IF('(STEP 1) Baseline Conditions'!$B$6="Average", ('BMP Suitability 01'!X27*'BMP Removal Rates'!X$42)/100, IF('(STEP 1) Baseline Conditions'!$B$6="Best",('BMP Suitability 01'!X27*'BMP Removal Rates'!X$38)/100)))</f>
        <v>0</v>
      </c>
      <c r="Y27" s="110">
        <f>IF('(STEP 1) Baseline Conditions'!$B$6="Poor",('BMP Suitability 01'!Y27*'BMP Removal Rates'!Y$41)/100, IF('(STEP 1) Baseline Conditions'!$B$6="Average", ('BMP Suitability 01'!Y27*'BMP Removal Rates'!Y$42)/100, IF('(STEP 1) Baseline Conditions'!$B$6="Best",('BMP Suitability 01'!Y27*'BMP Removal Rates'!Y$38)/100)))</f>
        <v>0</v>
      </c>
      <c r="Z27" s="110">
        <f>IF('(STEP 1) Baseline Conditions'!$B$6="Poor",('BMP Suitability 01'!Z27*'BMP Removal Rates'!Z$41)/100, IF('(STEP 1) Baseline Conditions'!$B$6="Average", ('BMP Suitability 01'!Z27*'BMP Removal Rates'!Z$42)/100, IF('(STEP 1) Baseline Conditions'!$B$6="Best",('BMP Suitability 01'!Z27*'BMP Removal Rates'!Z$38)/100)))</f>
        <v>0</v>
      </c>
      <c r="AA27" s="110">
        <f>IF('(STEP 1) Baseline Conditions'!$B$6="Poor",('BMP Suitability 01'!AA27*'BMP Removal Rates'!AA$41)/100, IF('(STEP 1) Baseline Conditions'!$B$6="Average", ('BMP Suitability 01'!AA27*'BMP Removal Rates'!AA$42)/100, IF('(STEP 1) Baseline Conditions'!$B$6="Best",('BMP Suitability 01'!AA27*'BMP Removal Rates'!AA$38)/100)))</f>
        <v>0</v>
      </c>
      <c r="AB27" s="110">
        <f>IF('(STEP 1) Baseline Conditions'!$B$6="Poor",('BMP Suitability 01'!AB27*'BMP Removal Rates'!AB$41)/100, IF('(STEP 1) Baseline Conditions'!$B$6="Average", ('BMP Suitability 01'!AB27*'BMP Removal Rates'!AB$42)/100, IF('(STEP 1) Baseline Conditions'!$B$6="Best",('BMP Suitability 01'!AB27*'BMP Removal Rates'!AB$38)/100)))</f>
        <v>0</v>
      </c>
      <c r="AC27" s="110">
        <f>IF('(STEP 1) Baseline Conditions'!$B$6="Poor",('BMP Suitability 01'!AC27*'BMP Removal Rates'!AC$41)/100, IF('(STEP 1) Baseline Conditions'!$B$6="Average", ('BMP Suitability 01'!AC27*'BMP Removal Rates'!AC$42)/100, IF('(STEP 1) Baseline Conditions'!$B$6="Best",('BMP Suitability 01'!AC27*'BMP Removal Rates'!AC$38)/100)))</f>
        <v>0</v>
      </c>
    </row>
    <row r="28" spans="1:29" x14ac:dyDescent="0.25">
      <c r="A28" s="3" t="s">
        <v>93</v>
      </c>
      <c r="B28" s="45">
        <f>IF(INDEX('Dosskey Coefficients'!$N$2:$N$20,MATCH('(STEP 1) Baseline Conditions'!$B$14,'Dosskey Coefficients'!$K$2:$K$20,0),0)&lt;0,('BMP Suitability 01'!B28*'BMP Removal Rates'!$B$38)/100, 'BMP Suitability 01'!B28*'BMP Removal Rates'!$B$39/100)</f>
        <v>0</v>
      </c>
      <c r="C28" s="45">
        <f>IF(INDEX('Dosskey Coefficients'!$N$2:$N$20,MATCH('(STEP 1) Baseline Conditions'!$B$14,'Dosskey Coefficients'!$K$2:$K$20,0),0)&lt;0,('BMP Suitability 01'!C28*$C$38)/100, 'BMP Suitability 01'!C28*$C$39/100)</f>
        <v>0</v>
      </c>
      <c r="D28" s="45">
        <f>('BMP Suitability 01'!D28*'BMP Removal Rates'!$D$38)/100</f>
        <v>0.62</v>
      </c>
      <c r="E28" s="45">
        <f>('BMP Suitability 01'!E28*'BMP Removal Rates'!$E$38)/100</f>
        <v>0.38500000000000001</v>
      </c>
      <c r="F28" s="45">
        <f>('BMP Suitability 01'!F28*'BMP Removal Rates'!$F$38)/100</f>
        <v>0.4</v>
      </c>
      <c r="G28" s="45">
        <f>('BMP Suitability 01'!G28*'BMP Removal Rates'!$G$38)/100</f>
        <v>0.75</v>
      </c>
      <c r="H28" s="45">
        <f>('BMP Suitability 01'!H28*'BMP Removal Rates'!$H$38)/100</f>
        <v>0.95</v>
      </c>
      <c r="I28" s="45">
        <f>('BMP Suitability 01'!I28*'BMP Removal Rates'!$I$38)/100</f>
        <v>0.85</v>
      </c>
      <c r="J28" s="45">
        <f>('BMP Suitability 01'!J28*'BMP Removal Rates'!$J$38)/100</f>
        <v>0.9</v>
      </c>
      <c r="K28" s="45">
        <f>('BMP Suitability 01'!K28*'BMP Removal Rates'!$K$38)/100</f>
        <v>0.75</v>
      </c>
      <c r="L28" s="45">
        <f>('BMP Suitability 01'!L28*'BMP Removal Rates'!$L$38)/100</f>
        <v>0</v>
      </c>
      <c r="M28" s="45">
        <f>('BMP Suitability 01'!M28*'BMP Removal Rates'!$M$38)/100</f>
        <v>0</v>
      </c>
      <c r="N28" s="110">
        <f>IF('(STEP 1) Baseline Conditions'!$B$6="Poor",('BMP Suitability 01'!N28*'BMP Removal Rates'!N$41)/100, IF('(STEP 1) Baseline Conditions'!$B$6="Average", ('BMP Suitability 01'!N28*'BMP Removal Rates'!N$42)/100, IF('(STEP 1) Baseline Conditions'!$B$6="Best",('BMP Suitability 01'!N28*'BMP Removal Rates'!N$38)/100)))</f>
        <v>0</v>
      </c>
      <c r="O28" s="110">
        <f>IF('(STEP 1) Baseline Conditions'!$B$6="Poor",('BMP Suitability 01'!O28*'BMP Removal Rates'!O$41)/100, IF('(STEP 1) Baseline Conditions'!$B$6="Average", ('BMP Suitability 01'!O28*'BMP Removal Rates'!O$42)/100, IF('(STEP 1) Baseline Conditions'!$B$6="Best",('BMP Suitability 01'!O28*'BMP Removal Rates'!O$38)/100)))</f>
        <v>0</v>
      </c>
      <c r="P28" s="110">
        <f>IF('(STEP 1) Baseline Conditions'!$B$6="Poor",('BMP Suitability 01'!P28*'BMP Removal Rates'!P$41)/100, IF('(STEP 1) Baseline Conditions'!$B$6="Average", ('BMP Suitability 01'!P28*'BMP Removal Rates'!P$42)/100, IF('(STEP 1) Baseline Conditions'!$B$6="Best",('BMP Suitability 01'!P28*'BMP Removal Rates'!P$38)/100)))</f>
        <v>0</v>
      </c>
      <c r="Q28" s="110">
        <f>IF('(STEP 1) Baseline Conditions'!$B$6="Poor",('BMP Suitability 01'!Q28*'BMP Removal Rates'!Q$41)/100, IF('(STEP 1) Baseline Conditions'!$B$6="Average", ('BMP Suitability 01'!Q28*'BMP Removal Rates'!Q$42)/100, IF('(STEP 1) Baseline Conditions'!$B$6="Best",('BMP Suitability 01'!Q28*'BMP Removal Rates'!Q$38)/100)))</f>
        <v>0</v>
      </c>
      <c r="R28" s="110">
        <f>IF('(STEP 1) Baseline Conditions'!$B$6="Poor",('BMP Suitability 01'!R28*'BMP Removal Rates'!R$41)/100, IF('(STEP 1) Baseline Conditions'!$B$6="Average", ('BMP Suitability 01'!R28*'BMP Removal Rates'!R$42)/100, IF('(STEP 1) Baseline Conditions'!$B$6="Best",('BMP Suitability 01'!R28*'BMP Removal Rates'!R$38)/100)))</f>
        <v>0</v>
      </c>
      <c r="S28" s="110">
        <f>IF('(STEP 1) Baseline Conditions'!$B$6="Poor",('BMP Suitability 01'!S28*'BMP Removal Rates'!S$41)/100, IF('(STEP 1) Baseline Conditions'!$B$6="Average", ('BMP Suitability 01'!S28*'BMP Removal Rates'!S$42)/100, IF('(STEP 1) Baseline Conditions'!$B$6="Best",('BMP Suitability 01'!S28*'BMP Removal Rates'!S$38)/100)))</f>
        <v>0</v>
      </c>
      <c r="T28" s="110">
        <f>IF('(STEP 1) Baseline Conditions'!$B$6="Poor",('BMP Suitability 01'!T28*'BMP Removal Rates'!T$41)/100, IF('(STEP 1) Baseline Conditions'!$B$6="Average", ('BMP Suitability 01'!T28*'BMP Removal Rates'!T$42)/100, IF('(STEP 1) Baseline Conditions'!$B$6="Best",('BMP Suitability 01'!T28*'BMP Removal Rates'!T$38)/100)))</f>
        <v>0.79749999999999999</v>
      </c>
      <c r="U28" s="110">
        <f>IF('(STEP 1) Baseline Conditions'!$B$6="Poor",('BMP Suitability 01'!U28*'BMP Removal Rates'!U$41)/100, IF('(STEP 1) Baseline Conditions'!$B$6="Average", ('BMP Suitability 01'!U28*'BMP Removal Rates'!U$42)/100, IF('(STEP 1) Baseline Conditions'!$B$6="Best",('BMP Suitability 01'!U28*'BMP Removal Rates'!U$38)/100)))</f>
        <v>0.52500000000000002</v>
      </c>
      <c r="V28" s="110">
        <f>IF('(STEP 1) Baseline Conditions'!$B$6="Poor",('BMP Suitability 01'!V28*'BMP Removal Rates'!V$41)/100, IF('(STEP 1) Baseline Conditions'!$B$6="Average", ('BMP Suitability 01'!V28*'BMP Removal Rates'!V$42)/100, IF('(STEP 1) Baseline Conditions'!$B$6="Best",('BMP Suitability 01'!V28*'BMP Removal Rates'!V$38)/100)))</f>
        <v>0</v>
      </c>
      <c r="W28" s="110">
        <f>IF('(STEP 1) Baseline Conditions'!$B$6="Poor",('BMP Suitability 01'!W28*'BMP Removal Rates'!W$41)/100, IF('(STEP 1) Baseline Conditions'!$B$6="Average", ('BMP Suitability 01'!W28*'BMP Removal Rates'!W$42)/100, IF('(STEP 1) Baseline Conditions'!$B$6="Best",('BMP Suitability 01'!W28*'BMP Removal Rates'!W$38)/100)))</f>
        <v>0</v>
      </c>
      <c r="X28" s="110">
        <f>IF('(STEP 1) Baseline Conditions'!$B$6="Poor",('BMP Suitability 01'!X28*'BMP Removal Rates'!X$41)/100, IF('(STEP 1) Baseline Conditions'!$B$6="Average", ('BMP Suitability 01'!X28*'BMP Removal Rates'!X$42)/100, IF('(STEP 1) Baseline Conditions'!$B$6="Best",('BMP Suitability 01'!X28*'BMP Removal Rates'!X$38)/100)))</f>
        <v>0.85</v>
      </c>
      <c r="Y28" s="110">
        <f>IF('(STEP 1) Baseline Conditions'!$B$6="Poor",('BMP Suitability 01'!Y28*'BMP Removal Rates'!Y$41)/100, IF('(STEP 1) Baseline Conditions'!$B$6="Average", ('BMP Suitability 01'!Y28*'BMP Removal Rates'!Y$42)/100, IF('(STEP 1) Baseline Conditions'!$B$6="Best",('BMP Suitability 01'!Y28*'BMP Removal Rates'!Y$38)/100)))</f>
        <v>0.22</v>
      </c>
      <c r="Z28" s="110">
        <f>IF('(STEP 1) Baseline Conditions'!$B$6="Poor",('BMP Suitability 01'!Z28*'BMP Removal Rates'!Z$41)/100, IF('(STEP 1) Baseline Conditions'!$B$6="Average", ('BMP Suitability 01'!Z28*'BMP Removal Rates'!Z$42)/100, IF('(STEP 1) Baseline Conditions'!$B$6="Best",('BMP Suitability 01'!Z28*'BMP Removal Rates'!Z$38)/100)))</f>
        <v>0.75</v>
      </c>
      <c r="AA28" s="110">
        <f>IF('(STEP 1) Baseline Conditions'!$B$6="Poor",('BMP Suitability 01'!AA28*'BMP Removal Rates'!AA$41)/100, IF('(STEP 1) Baseline Conditions'!$B$6="Average", ('BMP Suitability 01'!AA28*'BMP Removal Rates'!AA$42)/100, IF('(STEP 1) Baseline Conditions'!$B$6="Best",('BMP Suitability 01'!AA28*'BMP Removal Rates'!AA$38)/100)))</f>
        <v>0.71750000000000003</v>
      </c>
      <c r="AB28" s="110">
        <f>IF('(STEP 1) Baseline Conditions'!$B$6="Poor",('BMP Suitability 01'!AB28*'BMP Removal Rates'!AB$41)/100, IF('(STEP 1) Baseline Conditions'!$B$6="Average", ('BMP Suitability 01'!AB28*'BMP Removal Rates'!AB$42)/100, IF('(STEP 1) Baseline Conditions'!$B$6="Best",('BMP Suitability 01'!AB28*'BMP Removal Rates'!AB$38)/100)))</f>
        <v>0.55437499999999995</v>
      </c>
      <c r="AC28" s="110">
        <f>IF('(STEP 1) Baseline Conditions'!$B$6="Poor",('BMP Suitability 01'!AC28*'BMP Removal Rates'!AC$41)/100, IF('(STEP 1) Baseline Conditions'!$B$6="Average", ('BMP Suitability 01'!AC28*'BMP Removal Rates'!AC$42)/100, IF('(STEP 1) Baseline Conditions'!$B$6="Best",('BMP Suitability 01'!AC28*'BMP Removal Rates'!AC$38)/100)))</f>
        <v>0.62</v>
      </c>
    </row>
    <row r="29" spans="1:29" x14ac:dyDescent="0.25">
      <c r="A29" s="3" t="s">
        <v>44</v>
      </c>
      <c r="B29" s="45">
        <f>IF(INDEX('Dosskey Coefficients'!$N$2:$N$20,MATCH('(STEP 1) Baseline Conditions'!$B$14,'Dosskey Coefficients'!$K$2:$K$20,0),0)&lt;0,('BMP Suitability 01'!B29*'BMP Removal Rates'!$B$38)/100, 'BMP Suitability 01'!B29*'BMP Removal Rates'!$B$39/100)</f>
        <v>0.87</v>
      </c>
      <c r="C29" s="45">
        <f>IF(INDEX('Dosskey Coefficients'!$N$2:$N$20,MATCH('(STEP 1) Baseline Conditions'!$B$14,'Dosskey Coefficients'!$K$2:$K$20,0),0)&lt;0,('BMP Suitability 01'!C29*$C$38)/100, 'BMP Suitability 01'!C29*$C$39/100)</f>
        <v>0.64500000000000002</v>
      </c>
      <c r="D29" s="45">
        <f>('BMP Suitability 01'!D29*'BMP Removal Rates'!$D$38)/100</f>
        <v>0.62</v>
      </c>
      <c r="E29" s="45">
        <f>('BMP Suitability 01'!E29*'BMP Removal Rates'!$E$38)/100</f>
        <v>0.38500000000000001</v>
      </c>
      <c r="F29" s="45">
        <f>('BMP Suitability 01'!F29*'BMP Removal Rates'!$F$38)/100</f>
        <v>0.4</v>
      </c>
      <c r="G29" s="45">
        <f>('BMP Suitability 01'!G29*'BMP Removal Rates'!$G$38)/100</f>
        <v>0.75</v>
      </c>
      <c r="H29" s="45">
        <f>('BMP Suitability 01'!H29*'BMP Removal Rates'!$H$38)/100</f>
        <v>0.95</v>
      </c>
      <c r="I29" s="45">
        <f>('BMP Suitability 01'!I29*'BMP Removal Rates'!$I$38)/100</f>
        <v>0.85</v>
      </c>
      <c r="J29" s="45">
        <f>('BMP Suitability 01'!J29*'BMP Removal Rates'!$J$38)/100</f>
        <v>0.9</v>
      </c>
      <c r="K29" s="45">
        <f>('BMP Suitability 01'!K29*'BMP Removal Rates'!$K$38)/100</f>
        <v>0.75</v>
      </c>
      <c r="L29" s="45">
        <f>('BMP Suitability 01'!L29*'BMP Removal Rates'!$L$38)/100</f>
        <v>0.69</v>
      </c>
      <c r="M29" s="45">
        <f>('BMP Suitability 01'!M29*'BMP Removal Rates'!$M$38)/100</f>
        <v>0.77500000000000002</v>
      </c>
      <c r="N29" s="110">
        <f>IF('(STEP 1) Baseline Conditions'!$B$6="Poor",('BMP Suitability 01'!N29*'BMP Removal Rates'!N$41)/100, IF('(STEP 1) Baseline Conditions'!$B$6="Average", ('BMP Suitability 01'!N29*'BMP Removal Rates'!N$42)/100, IF('(STEP 1) Baseline Conditions'!$B$6="Best",('BMP Suitability 01'!N29*'BMP Removal Rates'!N$38)/100)))</f>
        <v>0.82</v>
      </c>
      <c r="O29" s="110">
        <f>IF('(STEP 1) Baseline Conditions'!$B$6="Poor",('BMP Suitability 01'!O29*'BMP Removal Rates'!O$41)/100, IF('(STEP 1) Baseline Conditions'!$B$6="Average", ('BMP Suitability 01'!O29*'BMP Removal Rates'!O$42)/100, IF('(STEP 1) Baseline Conditions'!$B$6="Best",('BMP Suitability 01'!O29*'BMP Removal Rates'!O$38)/100)))</f>
        <v>0.21</v>
      </c>
      <c r="P29" s="110">
        <f>IF('(STEP 1) Baseline Conditions'!$B$6="Poor",('BMP Suitability 01'!P29*'BMP Removal Rates'!P$41)/100, IF('(STEP 1) Baseline Conditions'!$B$6="Average", ('BMP Suitability 01'!P29*'BMP Removal Rates'!P$42)/100, IF('(STEP 1) Baseline Conditions'!$B$6="Best",('BMP Suitability 01'!P29*'BMP Removal Rates'!P$38)/100)))</f>
        <v>0.83750000000000002</v>
      </c>
      <c r="Q29" s="110">
        <f>IF('(STEP 1) Baseline Conditions'!$B$6="Poor",('BMP Suitability 01'!Q29*'BMP Removal Rates'!Q$41)/100, IF('(STEP 1) Baseline Conditions'!$B$6="Average", ('BMP Suitability 01'!Q29*'BMP Removal Rates'!Q$42)/100, IF('(STEP 1) Baseline Conditions'!$B$6="Best",('BMP Suitability 01'!Q29*'BMP Removal Rates'!Q$38)/100)))</f>
        <v>0.73750000000000004</v>
      </c>
      <c r="R29" s="110">
        <f>IF('(STEP 1) Baseline Conditions'!$B$6="Poor",('BMP Suitability 01'!R29*'BMP Removal Rates'!R$41)/100, IF('(STEP 1) Baseline Conditions'!$B$6="Average", ('BMP Suitability 01'!R29*'BMP Removal Rates'!R$42)/100, IF('(STEP 1) Baseline Conditions'!$B$6="Best",('BMP Suitability 01'!R29*'BMP Removal Rates'!R$38)/100)))</f>
        <v>0</v>
      </c>
      <c r="S29" s="110">
        <f>IF('(STEP 1) Baseline Conditions'!$B$6="Poor",('BMP Suitability 01'!S29*'BMP Removal Rates'!S$41)/100, IF('(STEP 1) Baseline Conditions'!$B$6="Average", ('BMP Suitability 01'!S29*'BMP Removal Rates'!S$42)/100, IF('(STEP 1) Baseline Conditions'!$B$6="Best",('BMP Suitability 01'!S29*'BMP Removal Rates'!S$38)/100)))</f>
        <v>0</v>
      </c>
      <c r="T29" s="110">
        <f>IF('(STEP 1) Baseline Conditions'!$B$6="Poor",('BMP Suitability 01'!T29*'BMP Removal Rates'!T$41)/100, IF('(STEP 1) Baseline Conditions'!$B$6="Average", ('BMP Suitability 01'!T29*'BMP Removal Rates'!T$42)/100, IF('(STEP 1) Baseline Conditions'!$B$6="Best",('BMP Suitability 01'!T29*'BMP Removal Rates'!T$38)/100)))</f>
        <v>0.79749999999999999</v>
      </c>
      <c r="U29" s="110">
        <f>IF('(STEP 1) Baseline Conditions'!$B$6="Poor",('BMP Suitability 01'!U29*'BMP Removal Rates'!U$41)/100, IF('(STEP 1) Baseline Conditions'!$B$6="Average", ('BMP Suitability 01'!U29*'BMP Removal Rates'!U$42)/100, IF('(STEP 1) Baseline Conditions'!$B$6="Best",('BMP Suitability 01'!U29*'BMP Removal Rates'!U$38)/100)))</f>
        <v>0.52500000000000002</v>
      </c>
      <c r="V29" s="110">
        <f>IF('(STEP 1) Baseline Conditions'!$B$6="Poor",('BMP Suitability 01'!V29*'BMP Removal Rates'!V$41)/100, IF('(STEP 1) Baseline Conditions'!$B$6="Average", ('BMP Suitability 01'!V29*'BMP Removal Rates'!V$42)/100, IF('(STEP 1) Baseline Conditions'!$B$6="Best",('BMP Suitability 01'!V29*'BMP Removal Rates'!V$38)/100)))</f>
        <v>0.72750000000000004</v>
      </c>
      <c r="W29" s="110">
        <f>IF('(STEP 1) Baseline Conditions'!$B$6="Poor",('BMP Suitability 01'!W29*'BMP Removal Rates'!W$41)/100, IF('(STEP 1) Baseline Conditions'!$B$6="Average", ('BMP Suitability 01'!W29*'BMP Removal Rates'!W$42)/100, IF('(STEP 1) Baseline Conditions'!$B$6="Best",('BMP Suitability 01'!W29*'BMP Removal Rates'!W$38)/100)))</f>
        <v>0.755</v>
      </c>
      <c r="X29" s="110">
        <f>IF('(STEP 1) Baseline Conditions'!$B$6="Poor",('BMP Suitability 01'!X29*'BMP Removal Rates'!X$41)/100, IF('(STEP 1) Baseline Conditions'!$B$6="Average", ('BMP Suitability 01'!X29*'BMP Removal Rates'!X$42)/100, IF('(STEP 1) Baseline Conditions'!$B$6="Best",('BMP Suitability 01'!X29*'BMP Removal Rates'!X$38)/100)))</f>
        <v>0.85</v>
      </c>
      <c r="Y29" s="110">
        <f>IF('(STEP 1) Baseline Conditions'!$B$6="Poor",('BMP Suitability 01'!Y29*'BMP Removal Rates'!Y$41)/100, IF('(STEP 1) Baseline Conditions'!$B$6="Average", ('BMP Suitability 01'!Y29*'BMP Removal Rates'!Y$42)/100, IF('(STEP 1) Baseline Conditions'!$B$6="Best",('BMP Suitability 01'!Y29*'BMP Removal Rates'!Y$38)/100)))</f>
        <v>0.22</v>
      </c>
      <c r="Z29" s="110">
        <f>IF('(STEP 1) Baseline Conditions'!$B$6="Poor",('BMP Suitability 01'!Z29*'BMP Removal Rates'!Z$41)/100, IF('(STEP 1) Baseline Conditions'!$B$6="Average", ('BMP Suitability 01'!Z29*'BMP Removal Rates'!Z$42)/100, IF('(STEP 1) Baseline Conditions'!$B$6="Best",('BMP Suitability 01'!Z29*'BMP Removal Rates'!Z$38)/100)))</f>
        <v>0.75</v>
      </c>
      <c r="AA29" s="110">
        <f>IF('(STEP 1) Baseline Conditions'!$B$6="Poor",('BMP Suitability 01'!AA29*'BMP Removal Rates'!AA$41)/100, IF('(STEP 1) Baseline Conditions'!$B$6="Average", ('BMP Suitability 01'!AA29*'BMP Removal Rates'!AA$42)/100, IF('(STEP 1) Baseline Conditions'!$B$6="Best",('BMP Suitability 01'!AA29*'BMP Removal Rates'!AA$38)/100)))</f>
        <v>0.71750000000000003</v>
      </c>
      <c r="AB29" s="110">
        <f>IF('(STEP 1) Baseline Conditions'!$B$6="Poor",('BMP Suitability 01'!AB29*'BMP Removal Rates'!AB$41)/100, IF('(STEP 1) Baseline Conditions'!$B$6="Average", ('BMP Suitability 01'!AB29*'BMP Removal Rates'!AB$42)/100, IF('(STEP 1) Baseline Conditions'!$B$6="Best",('BMP Suitability 01'!AB29*'BMP Removal Rates'!AB$38)/100)))</f>
        <v>0</v>
      </c>
      <c r="AC29" s="110">
        <f>IF('(STEP 1) Baseline Conditions'!$B$6="Poor",('BMP Suitability 01'!AC29*'BMP Removal Rates'!AC$41)/100, IF('(STEP 1) Baseline Conditions'!$B$6="Average", ('BMP Suitability 01'!AC29*'BMP Removal Rates'!AC$42)/100, IF('(STEP 1) Baseline Conditions'!$B$6="Best",('BMP Suitability 01'!AC29*'BMP Removal Rates'!AC$38)/100)))</f>
        <v>0</v>
      </c>
    </row>
    <row r="30" spans="1:29" x14ac:dyDescent="0.25">
      <c r="A30" s="3" t="s">
        <v>80</v>
      </c>
      <c r="B30" s="45">
        <f>IF(INDEX('Dosskey Coefficients'!$N$2:$N$20,MATCH('(STEP 1) Baseline Conditions'!$B$14,'Dosskey Coefficients'!$K$2:$K$20,0),0)&lt;0,('BMP Suitability 01'!B30*'BMP Removal Rates'!$B$38)/100, 'BMP Suitability 01'!B30*'BMP Removal Rates'!$B$39/100)</f>
        <v>0</v>
      </c>
      <c r="C30" s="45">
        <f>IF(INDEX('Dosskey Coefficients'!$N$2:$N$20,MATCH('(STEP 1) Baseline Conditions'!$B$14,'Dosskey Coefficients'!$K$2:$K$20,0),0)&lt;0,('BMP Suitability 01'!C30*$C$38)/100, 'BMP Suitability 01'!C30*$C$39/100)</f>
        <v>0</v>
      </c>
      <c r="D30" s="45">
        <f>('BMP Suitability 01'!D30*'BMP Removal Rates'!$D$38)/100</f>
        <v>0.62</v>
      </c>
      <c r="E30" s="45">
        <f>('BMP Suitability 01'!E30*'BMP Removal Rates'!$E$38)/100</f>
        <v>0.38500000000000001</v>
      </c>
      <c r="F30" s="45">
        <f>('BMP Suitability 01'!F30*'BMP Removal Rates'!$F$38)/100</f>
        <v>0.4</v>
      </c>
      <c r="G30" s="45">
        <f>('BMP Suitability 01'!G30*'BMP Removal Rates'!$G$38)/100</f>
        <v>0.75</v>
      </c>
      <c r="H30" s="45">
        <f>('BMP Suitability 01'!H30*'BMP Removal Rates'!$H$38)/100</f>
        <v>0</v>
      </c>
      <c r="I30" s="45">
        <f>('BMP Suitability 01'!I30*'BMP Removal Rates'!$I$38)/100</f>
        <v>0</v>
      </c>
      <c r="J30" s="45">
        <f>('BMP Suitability 01'!J30*'BMP Removal Rates'!$J$38)/100</f>
        <v>0.9</v>
      </c>
      <c r="K30" s="45">
        <f>('BMP Suitability 01'!K30*'BMP Removal Rates'!$K$38)/100</f>
        <v>0.75</v>
      </c>
      <c r="L30" s="45">
        <f>('BMP Suitability 01'!L30*'BMP Removal Rates'!$L$38)/100</f>
        <v>0</v>
      </c>
      <c r="M30" s="45">
        <f>('BMP Suitability 01'!M30*'BMP Removal Rates'!$M$38)/100</f>
        <v>0</v>
      </c>
      <c r="N30" s="110">
        <f>IF('(STEP 1) Baseline Conditions'!$B$6="Poor",('BMP Suitability 01'!N30*'BMP Removal Rates'!N$41)/100, IF('(STEP 1) Baseline Conditions'!$B$6="Average", ('BMP Suitability 01'!N30*'BMP Removal Rates'!N$42)/100, IF('(STEP 1) Baseline Conditions'!$B$6="Best",('BMP Suitability 01'!N30*'BMP Removal Rates'!N$38)/100)))</f>
        <v>0</v>
      </c>
      <c r="O30" s="110">
        <f>IF('(STEP 1) Baseline Conditions'!$B$6="Poor",('BMP Suitability 01'!O30*'BMP Removal Rates'!O$41)/100, IF('(STEP 1) Baseline Conditions'!$B$6="Average", ('BMP Suitability 01'!O30*'BMP Removal Rates'!O$42)/100, IF('(STEP 1) Baseline Conditions'!$B$6="Best",('BMP Suitability 01'!O30*'BMP Removal Rates'!O$38)/100)))</f>
        <v>0</v>
      </c>
      <c r="P30" s="110">
        <f>IF('(STEP 1) Baseline Conditions'!$B$6="Poor",('BMP Suitability 01'!P30*'BMP Removal Rates'!P$41)/100, IF('(STEP 1) Baseline Conditions'!$B$6="Average", ('BMP Suitability 01'!P30*'BMP Removal Rates'!P$42)/100, IF('(STEP 1) Baseline Conditions'!$B$6="Best",('BMP Suitability 01'!P30*'BMP Removal Rates'!P$38)/100)))</f>
        <v>0</v>
      </c>
      <c r="Q30" s="110">
        <f>IF('(STEP 1) Baseline Conditions'!$B$6="Poor",('BMP Suitability 01'!Q30*'BMP Removal Rates'!Q$41)/100, IF('(STEP 1) Baseline Conditions'!$B$6="Average", ('BMP Suitability 01'!Q30*'BMP Removal Rates'!Q$42)/100, IF('(STEP 1) Baseline Conditions'!$B$6="Best",('BMP Suitability 01'!Q30*'BMP Removal Rates'!Q$38)/100)))</f>
        <v>0</v>
      </c>
      <c r="R30" s="110">
        <f>IF('(STEP 1) Baseline Conditions'!$B$6="Poor",('BMP Suitability 01'!R30*'BMP Removal Rates'!R$41)/100, IF('(STEP 1) Baseline Conditions'!$B$6="Average", ('BMP Suitability 01'!R30*'BMP Removal Rates'!R$42)/100, IF('(STEP 1) Baseline Conditions'!$B$6="Best",('BMP Suitability 01'!R30*'BMP Removal Rates'!R$38)/100)))</f>
        <v>0</v>
      </c>
      <c r="S30" s="110">
        <f>IF('(STEP 1) Baseline Conditions'!$B$6="Poor",('BMP Suitability 01'!S30*'BMP Removal Rates'!S$41)/100, IF('(STEP 1) Baseline Conditions'!$B$6="Average", ('BMP Suitability 01'!S30*'BMP Removal Rates'!S$42)/100, IF('(STEP 1) Baseline Conditions'!$B$6="Best",('BMP Suitability 01'!S30*'BMP Removal Rates'!S$38)/100)))</f>
        <v>0</v>
      </c>
      <c r="T30" s="110">
        <f>IF('(STEP 1) Baseline Conditions'!$B$6="Poor",('BMP Suitability 01'!T30*'BMP Removal Rates'!T$41)/100, IF('(STEP 1) Baseline Conditions'!$B$6="Average", ('BMP Suitability 01'!T30*'BMP Removal Rates'!T$42)/100, IF('(STEP 1) Baseline Conditions'!$B$6="Best",('BMP Suitability 01'!T30*'BMP Removal Rates'!T$38)/100)))</f>
        <v>0.79749999999999999</v>
      </c>
      <c r="U30" s="110">
        <f>IF('(STEP 1) Baseline Conditions'!$B$6="Poor",('BMP Suitability 01'!U30*'BMP Removal Rates'!U$41)/100, IF('(STEP 1) Baseline Conditions'!$B$6="Average", ('BMP Suitability 01'!U30*'BMP Removal Rates'!U$42)/100, IF('(STEP 1) Baseline Conditions'!$B$6="Best",('BMP Suitability 01'!U30*'BMP Removal Rates'!U$38)/100)))</f>
        <v>0.52500000000000002</v>
      </c>
      <c r="V30" s="110">
        <f>IF('(STEP 1) Baseline Conditions'!$B$6="Poor",('BMP Suitability 01'!V30*'BMP Removal Rates'!V$41)/100, IF('(STEP 1) Baseline Conditions'!$B$6="Average", ('BMP Suitability 01'!V30*'BMP Removal Rates'!V$42)/100, IF('(STEP 1) Baseline Conditions'!$B$6="Best",('BMP Suitability 01'!V30*'BMP Removal Rates'!V$38)/100)))</f>
        <v>0</v>
      </c>
      <c r="W30" s="110">
        <f>IF('(STEP 1) Baseline Conditions'!$B$6="Poor",('BMP Suitability 01'!W30*'BMP Removal Rates'!W$41)/100, IF('(STEP 1) Baseline Conditions'!$B$6="Average", ('BMP Suitability 01'!W30*'BMP Removal Rates'!W$42)/100, IF('(STEP 1) Baseline Conditions'!$B$6="Best",('BMP Suitability 01'!W30*'BMP Removal Rates'!W$38)/100)))</f>
        <v>0</v>
      </c>
      <c r="X30" s="110">
        <f>IF('(STEP 1) Baseline Conditions'!$B$6="Poor",('BMP Suitability 01'!X30*'BMP Removal Rates'!X$41)/100, IF('(STEP 1) Baseline Conditions'!$B$6="Average", ('BMP Suitability 01'!X30*'BMP Removal Rates'!X$42)/100, IF('(STEP 1) Baseline Conditions'!$B$6="Best",('BMP Suitability 01'!X30*'BMP Removal Rates'!X$38)/100)))</f>
        <v>0</v>
      </c>
      <c r="Y30" s="110">
        <f>IF('(STEP 1) Baseline Conditions'!$B$6="Poor",('BMP Suitability 01'!Y30*'BMP Removal Rates'!Y$41)/100, IF('(STEP 1) Baseline Conditions'!$B$6="Average", ('BMP Suitability 01'!Y30*'BMP Removal Rates'!Y$42)/100, IF('(STEP 1) Baseline Conditions'!$B$6="Best",('BMP Suitability 01'!Y30*'BMP Removal Rates'!Y$38)/100)))</f>
        <v>0</v>
      </c>
      <c r="Z30" s="110">
        <f>IF('(STEP 1) Baseline Conditions'!$B$6="Poor",('BMP Suitability 01'!Z30*'BMP Removal Rates'!Z$41)/100, IF('(STEP 1) Baseline Conditions'!$B$6="Average", ('BMP Suitability 01'!Z30*'BMP Removal Rates'!Z$42)/100, IF('(STEP 1) Baseline Conditions'!$B$6="Best",('BMP Suitability 01'!Z30*'BMP Removal Rates'!Z$38)/100)))</f>
        <v>0.75</v>
      </c>
      <c r="AA30" s="110">
        <f>IF('(STEP 1) Baseline Conditions'!$B$6="Poor",('BMP Suitability 01'!AA30*'BMP Removal Rates'!AA$41)/100, IF('(STEP 1) Baseline Conditions'!$B$6="Average", ('BMP Suitability 01'!AA30*'BMP Removal Rates'!AA$42)/100, IF('(STEP 1) Baseline Conditions'!$B$6="Best",('BMP Suitability 01'!AA30*'BMP Removal Rates'!AA$38)/100)))</f>
        <v>0.71750000000000003</v>
      </c>
      <c r="AB30" s="110">
        <f>IF('(STEP 1) Baseline Conditions'!$B$6="Poor",('BMP Suitability 01'!AB30*'BMP Removal Rates'!AB$41)/100, IF('(STEP 1) Baseline Conditions'!$B$6="Average", ('BMP Suitability 01'!AB30*'BMP Removal Rates'!AB$42)/100, IF('(STEP 1) Baseline Conditions'!$B$6="Best",('BMP Suitability 01'!AB30*'BMP Removal Rates'!AB$38)/100)))</f>
        <v>0.55437499999999995</v>
      </c>
      <c r="AC30" s="110">
        <f>IF('(STEP 1) Baseline Conditions'!$B$6="Poor",('BMP Suitability 01'!AC30*'BMP Removal Rates'!AC$41)/100, IF('(STEP 1) Baseline Conditions'!$B$6="Average", ('BMP Suitability 01'!AC30*'BMP Removal Rates'!AC$42)/100, IF('(STEP 1) Baseline Conditions'!$B$6="Best",('BMP Suitability 01'!AC30*'BMP Removal Rates'!AC$38)/100)))</f>
        <v>0.62</v>
      </c>
    </row>
    <row r="31" spans="1:29" x14ac:dyDescent="0.25">
      <c r="A31" s="3" t="s">
        <v>81</v>
      </c>
      <c r="B31" s="45">
        <f>IF(INDEX('Dosskey Coefficients'!$N$2:$N$20,MATCH('(STEP 1) Baseline Conditions'!$B$14,'Dosskey Coefficients'!$K$2:$K$20,0),0)&lt;0,('BMP Suitability 01'!B31*'BMP Removal Rates'!$B$38)/100, 'BMP Suitability 01'!B31*'BMP Removal Rates'!$B$39/100)</f>
        <v>0.87</v>
      </c>
      <c r="C31" s="45">
        <f>IF(INDEX('Dosskey Coefficients'!$N$2:$N$20,MATCH('(STEP 1) Baseline Conditions'!$B$14,'Dosskey Coefficients'!$K$2:$K$20,0),0)&lt;0,('BMP Suitability 01'!C31*$C$38)/100, 'BMP Suitability 01'!C31*$C$39/100)</f>
        <v>0.64500000000000002</v>
      </c>
      <c r="D31" s="45">
        <f>('BMP Suitability 01'!D31*'BMP Removal Rates'!$D$38)/100</f>
        <v>0.62</v>
      </c>
      <c r="E31" s="45">
        <f>('BMP Suitability 01'!E31*'BMP Removal Rates'!$E$38)/100</f>
        <v>0.38500000000000001</v>
      </c>
      <c r="F31" s="45">
        <f>('BMP Suitability 01'!F31*'BMP Removal Rates'!$F$38)/100</f>
        <v>0.4</v>
      </c>
      <c r="G31" s="45">
        <f>('BMP Suitability 01'!G31*'BMP Removal Rates'!$G$38)/100</f>
        <v>0.75</v>
      </c>
      <c r="H31" s="45">
        <f>('BMP Suitability 01'!H31*'BMP Removal Rates'!$H$38)/100</f>
        <v>0.95</v>
      </c>
      <c r="I31" s="45">
        <f>('BMP Suitability 01'!I31*'BMP Removal Rates'!$I$38)/100</f>
        <v>0.85</v>
      </c>
      <c r="J31" s="45">
        <f>('BMP Suitability 01'!J31*'BMP Removal Rates'!$J$38)/100</f>
        <v>0.9</v>
      </c>
      <c r="K31" s="45">
        <f>('BMP Suitability 01'!K31*'BMP Removal Rates'!$K$38)/100</f>
        <v>0.75</v>
      </c>
      <c r="L31" s="45">
        <f>('BMP Suitability 01'!L31*'BMP Removal Rates'!$L$38)/100</f>
        <v>0.69</v>
      </c>
      <c r="M31" s="45">
        <f>('BMP Suitability 01'!M31*'BMP Removal Rates'!$M$38)/100</f>
        <v>0.77500000000000002</v>
      </c>
      <c r="N31" s="110">
        <f>IF('(STEP 1) Baseline Conditions'!$B$6="Poor",('BMP Suitability 01'!N31*'BMP Removal Rates'!N$41)/100, IF('(STEP 1) Baseline Conditions'!$B$6="Average", ('BMP Suitability 01'!N31*'BMP Removal Rates'!N$42)/100, IF('(STEP 1) Baseline Conditions'!$B$6="Best",('BMP Suitability 01'!N31*'BMP Removal Rates'!N$38)/100)))</f>
        <v>0.82</v>
      </c>
      <c r="O31" s="110">
        <f>IF('(STEP 1) Baseline Conditions'!$B$6="Poor",('BMP Suitability 01'!O31*'BMP Removal Rates'!O$41)/100, IF('(STEP 1) Baseline Conditions'!$B$6="Average", ('BMP Suitability 01'!O31*'BMP Removal Rates'!O$42)/100, IF('(STEP 1) Baseline Conditions'!$B$6="Best",('BMP Suitability 01'!O31*'BMP Removal Rates'!O$38)/100)))</f>
        <v>0.21</v>
      </c>
      <c r="P31" s="110">
        <f>IF('(STEP 1) Baseline Conditions'!$B$6="Poor",('BMP Suitability 01'!P31*'BMP Removal Rates'!P$41)/100, IF('(STEP 1) Baseline Conditions'!$B$6="Average", ('BMP Suitability 01'!P31*'BMP Removal Rates'!P$42)/100, IF('(STEP 1) Baseline Conditions'!$B$6="Best",('BMP Suitability 01'!P31*'BMP Removal Rates'!P$38)/100)))</f>
        <v>0.83750000000000002</v>
      </c>
      <c r="Q31" s="110">
        <f>IF('(STEP 1) Baseline Conditions'!$B$6="Poor",('BMP Suitability 01'!Q31*'BMP Removal Rates'!Q$41)/100, IF('(STEP 1) Baseline Conditions'!$B$6="Average", ('BMP Suitability 01'!Q31*'BMP Removal Rates'!Q$42)/100, IF('(STEP 1) Baseline Conditions'!$B$6="Best",('BMP Suitability 01'!Q31*'BMP Removal Rates'!Q$38)/100)))</f>
        <v>0.73750000000000004</v>
      </c>
      <c r="R31" s="110">
        <f>IF('(STEP 1) Baseline Conditions'!$B$6="Poor",('BMP Suitability 01'!R31*'BMP Removal Rates'!R$41)/100, IF('(STEP 1) Baseline Conditions'!$B$6="Average", ('BMP Suitability 01'!R31*'BMP Removal Rates'!R$42)/100, IF('(STEP 1) Baseline Conditions'!$B$6="Best",('BMP Suitability 01'!R31*'BMP Removal Rates'!R$38)/100)))</f>
        <v>0</v>
      </c>
      <c r="S31" s="110">
        <f>IF('(STEP 1) Baseline Conditions'!$B$6="Poor",('BMP Suitability 01'!S31*'BMP Removal Rates'!S$41)/100, IF('(STEP 1) Baseline Conditions'!$B$6="Average", ('BMP Suitability 01'!S31*'BMP Removal Rates'!S$42)/100, IF('(STEP 1) Baseline Conditions'!$B$6="Best",('BMP Suitability 01'!S31*'BMP Removal Rates'!S$38)/100)))</f>
        <v>0</v>
      </c>
      <c r="T31" s="110">
        <f>IF('(STEP 1) Baseline Conditions'!$B$6="Poor",('BMP Suitability 01'!T31*'BMP Removal Rates'!T$41)/100, IF('(STEP 1) Baseline Conditions'!$B$6="Average", ('BMP Suitability 01'!T31*'BMP Removal Rates'!T$42)/100, IF('(STEP 1) Baseline Conditions'!$B$6="Best",('BMP Suitability 01'!T31*'BMP Removal Rates'!T$38)/100)))</f>
        <v>0.79749999999999999</v>
      </c>
      <c r="U31" s="110">
        <f>IF('(STEP 1) Baseline Conditions'!$B$6="Poor",('BMP Suitability 01'!U31*'BMP Removal Rates'!U$41)/100, IF('(STEP 1) Baseline Conditions'!$B$6="Average", ('BMP Suitability 01'!U31*'BMP Removal Rates'!U$42)/100, IF('(STEP 1) Baseline Conditions'!$B$6="Best",('BMP Suitability 01'!U31*'BMP Removal Rates'!U$38)/100)))</f>
        <v>0.52500000000000002</v>
      </c>
      <c r="V31" s="110">
        <f>IF('(STEP 1) Baseline Conditions'!$B$6="Poor",('BMP Suitability 01'!V31*'BMP Removal Rates'!V$41)/100, IF('(STEP 1) Baseline Conditions'!$B$6="Average", ('BMP Suitability 01'!V31*'BMP Removal Rates'!V$42)/100, IF('(STEP 1) Baseline Conditions'!$B$6="Best",('BMP Suitability 01'!V31*'BMP Removal Rates'!V$38)/100)))</f>
        <v>0.72750000000000004</v>
      </c>
      <c r="W31" s="110">
        <f>IF('(STEP 1) Baseline Conditions'!$B$6="Poor",('BMP Suitability 01'!W31*'BMP Removal Rates'!W$41)/100, IF('(STEP 1) Baseline Conditions'!$B$6="Average", ('BMP Suitability 01'!W31*'BMP Removal Rates'!W$42)/100, IF('(STEP 1) Baseline Conditions'!$B$6="Best",('BMP Suitability 01'!W31*'BMP Removal Rates'!W$38)/100)))</f>
        <v>0.755</v>
      </c>
      <c r="X31" s="110">
        <f>IF('(STEP 1) Baseline Conditions'!$B$6="Poor",('BMP Suitability 01'!X31*'BMP Removal Rates'!X$41)/100, IF('(STEP 1) Baseline Conditions'!$B$6="Average", ('BMP Suitability 01'!X31*'BMP Removal Rates'!X$42)/100, IF('(STEP 1) Baseline Conditions'!$B$6="Best",('BMP Suitability 01'!X31*'BMP Removal Rates'!X$38)/100)))</f>
        <v>0.85</v>
      </c>
      <c r="Y31" s="110">
        <f>IF('(STEP 1) Baseline Conditions'!$B$6="Poor",('BMP Suitability 01'!Y31*'BMP Removal Rates'!Y$41)/100, IF('(STEP 1) Baseline Conditions'!$B$6="Average", ('BMP Suitability 01'!Y31*'BMP Removal Rates'!Y$42)/100, IF('(STEP 1) Baseline Conditions'!$B$6="Best",('BMP Suitability 01'!Y31*'BMP Removal Rates'!Y$38)/100)))</f>
        <v>0.22</v>
      </c>
      <c r="Z31" s="110">
        <f>IF('(STEP 1) Baseline Conditions'!$B$6="Poor",('BMP Suitability 01'!Z31*'BMP Removal Rates'!Z$41)/100, IF('(STEP 1) Baseline Conditions'!$B$6="Average", ('BMP Suitability 01'!Z31*'BMP Removal Rates'!Z$42)/100, IF('(STEP 1) Baseline Conditions'!$B$6="Best",('BMP Suitability 01'!Z31*'BMP Removal Rates'!Z$38)/100)))</f>
        <v>0.75</v>
      </c>
      <c r="AA31" s="110">
        <f>IF('(STEP 1) Baseline Conditions'!$B$6="Poor",('BMP Suitability 01'!AA31*'BMP Removal Rates'!AA$41)/100, IF('(STEP 1) Baseline Conditions'!$B$6="Average", ('BMP Suitability 01'!AA31*'BMP Removal Rates'!AA$42)/100, IF('(STEP 1) Baseline Conditions'!$B$6="Best",('BMP Suitability 01'!AA31*'BMP Removal Rates'!AA$38)/100)))</f>
        <v>0.71750000000000003</v>
      </c>
      <c r="AB31" s="110">
        <f>IF('(STEP 1) Baseline Conditions'!$B$6="Poor",('BMP Suitability 01'!AB31*'BMP Removal Rates'!AB$41)/100, IF('(STEP 1) Baseline Conditions'!$B$6="Average", ('BMP Suitability 01'!AB31*'BMP Removal Rates'!AB$42)/100, IF('(STEP 1) Baseline Conditions'!$B$6="Best",('BMP Suitability 01'!AB31*'BMP Removal Rates'!AB$38)/100)))</f>
        <v>0.55437499999999995</v>
      </c>
      <c r="AC31" s="110">
        <f>IF('(STEP 1) Baseline Conditions'!$B$6="Poor",('BMP Suitability 01'!AC31*'BMP Removal Rates'!AC$41)/100, IF('(STEP 1) Baseline Conditions'!$B$6="Average", ('BMP Suitability 01'!AC31*'BMP Removal Rates'!AC$42)/100, IF('(STEP 1) Baseline Conditions'!$B$6="Best",('BMP Suitability 01'!AC31*'BMP Removal Rates'!AC$38)/100)))</f>
        <v>0.62</v>
      </c>
    </row>
    <row r="32" spans="1:29" x14ac:dyDescent="0.25">
      <c r="A32" s="3" t="s">
        <v>82</v>
      </c>
      <c r="B32" s="45">
        <f>IF(INDEX('Dosskey Coefficients'!$N$2:$N$20,MATCH('(STEP 1) Baseline Conditions'!$B$14,'Dosskey Coefficients'!$K$2:$K$20,0),0)&lt;0,('BMP Suitability 01'!B32*'BMP Removal Rates'!$B$38)/100, 'BMP Suitability 01'!B32*'BMP Removal Rates'!$B$39/100)</f>
        <v>0</v>
      </c>
      <c r="C32" s="45">
        <f>IF(INDEX('Dosskey Coefficients'!$N$2:$N$20,MATCH('(STEP 1) Baseline Conditions'!$B$14,'Dosskey Coefficients'!$K$2:$K$20,0),0)&lt;0,('BMP Suitability 01'!C32*$C$38)/100, 'BMP Suitability 01'!C32*$C$39/100)</f>
        <v>0</v>
      </c>
      <c r="D32" s="45">
        <f>('BMP Suitability 01'!D32*'BMP Removal Rates'!$D$38)/100</f>
        <v>0.62</v>
      </c>
      <c r="E32" s="45">
        <f>('BMP Suitability 01'!E32*'BMP Removal Rates'!$E$38)/100</f>
        <v>0.38500000000000001</v>
      </c>
      <c r="F32" s="45">
        <f>('BMP Suitability 01'!F32*'BMP Removal Rates'!$F$38)/100</f>
        <v>0.4</v>
      </c>
      <c r="G32" s="45">
        <f>('BMP Suitability 01'!G32*'BMP Removal Rates'!$G$38)/100</f>
        <v>0.75</v>
      </c>
      <c r="H32" s="45">
        <f>('BMP Suitability 01'!H32*'BMP Removal Rates'!$H$38)/100</f>
        <v>0.95</v>
      </c>
      <c r="I32" s="45">
        <f>('BMP Suitability 01'!I32*'BMP Removal Rates'!$I$38)/100</f>
        <v>0.85</v>
      </c>
      <c r="J32" s="45">
        <f>('BMP Suitability 01'!J32*'BMP Removal Rates'!$J$38)/100</f>
        <v>0.9</v>
      </c>
      <c r="K32" s="45">
        <f>('BMP Suitability 01'!K32*'BMP Removal Rates'!$K$38)/100</f>
        <v>0.75</v>
      </c>
      <c r="L32" s="45">
        <f>('BMP Suitability 01'!L32*'BMP Removal Rates'!$L$38)/100</f>
        <v>0</v>
      </c>
      <c r="M32" s="45">
        <f>('BMP Suitability 01'!M32*'BMP Removal Rates'!$M$38)/100</f>
        <v>0</v>
      </c>
      <c r="N32" s="110">
        <f>IF('(STEP 1) Baseline Conditions'!$B$6="Poor",('BMP Suitability 01'!N32*'BMP Removal Rates'!N$41)/100, IF('(STEP 1) Baseline Conditions'!$B$6="Average", ('BMP Suitability 01'!N32*'BMP Removal Rates'!N$42)/100, IF('(STEP 1) Baseline Conditions'!$B$6="Best",('BMP Suitability 01'!N32*'BMP Removal Rates'!N$38)/100)))</f>
        <v>0.82</v>
      </c>
      <c r="O32" s="110">
        <f>IF('(STEP 1) Baseline Conditions'!$B$6="Poor",('BMP Suitability 01'!O32*'BMP Removal Rates'!O$41)/100, IF('(STEP 1) Baseline Conditions'!$B$6="Average", ('BMP Suitability 01'!O32*'BMP Removal Rates'!O$42)/100, IF('(STEP 1) Baseline Conditions'!$B$6="Best",('BMP Suitability 01'!O32*'BMP Removal Rates'!O$38)/100)))</f>
        <v>0.21</v>
      </c>
      <c r="P32" s="110">
        <f>IF('(STEP 1) Baseline Conditions'!$B$6="Poor",('BMP Suitability 01'!P32*'BMP Removal Rates'!P$41)/100, IF('(STEP 1) Baseline Conditions'!$B$6="Average", ('BMP Suitability 01'!P32*'BMP Removal Rates'!P$42)/100, IF('(STEP 1) Baseline Conditions'!$B$6="Best",('BMP Suitability 01'!P32*'BMP Removal Rates'!P$38)/100)))</f>
        <v>0</v>
      </c>
      <c r="Q32" s="110">
        <f>IF('(STEP 1) Baseline Conditions'!$B$6="Poor",('BMP Suitability 01'!Q32*'BMP Removal Rates'!Q$41)/100, IF('(STEP 1) Baseline Conditions'!$B$6="Average", ('BMP Suitability 01'!Q32*'BMP Removal Rates'!Q$42)/100, IF('(STEP 1) Baseline Conditions'!$B$6="Best",('BMP Suitability 01'!Q32*'BMP Removal Rates'!Q$38)/100)))</f>
        <v>0</v>
      </c>
      <c r="R32" s="110">
        <f>IF('(STEP 1) Baseline Conditions'!$B$6="Poor",('BMP Suitability 01'!R32*'BMP Removal Rates'!R$41)/100, IF('(STEP 1) Baseline Conditions'!$B$6="Average", ('BMP Suitability 01'!R32*'BMP Removal Rates'!R$42)/100, IF('(STEP 1) Baseline Conditions'!$B$6="Best",('BMP Suitability 01'!R32*'BMP Removal Rates'!R$38)/100)))</f>
        <v>0</v>
      </c>
      <c r="S32" s="110">
        <f>IF('(STEP 1) Baseline Conditions'!$B$6="Poor",('BMP Suitability 01'!S32*'BMP Removal Rates'!S$41)/100, IF('(STEP 1) Baseline Conditions'!$B$6="Average", ('BMP Suitability 01'!S32*'BMP Removal Rates'!S$42)/100, IF('(STEP 1) Baseline Conditions'!$B$6="Best",('BMP Suitability 01'!S32*'BMP Removal Rates'!S$38)/100)))</f>
        <v>0</v>
      </c>
      <c r="T32" s="110">
        <f>IF('(STEP 1) Baseline Conditions'!$B$6="Poor",('BMP Suitability 01'!T32*'BMP Removal Rates'!T$41)/100, IF('(STEP 1) Baseline Conditions'!$B$6="Average", ('BMP Suitability 01'!T32*'BMP Removal Rates'!T$42)/100, IF('(STEP 1) Baseline Conditions'!$B$6="Best",('BMP Suitability 01'!T32*'BMP Removal Rates'!T$38)/100)))</f>
        <v>0.79749999999999999</v>
      </c>
      <c r="U32" s="110">
        <f>IF('(STEP 1) Baseline Conditions'!$B$6="Poor",('BMP Suitability 01'!U32*'BMP Removal Rates'!U$41)/100, IF('(STEP 1) Baseline Conditions'!$B$6="Average", ('BMP Suitability 01'!U32*'BMP Removal Rates'!U$42)/100, IF('(STEP 1) Baseline Conditions'!$B$6="Best",('BMP Suitability 01'!U32*'BMP Removal Rates'!U$38)/100)))</f>
        <v>0.52500000000000002</v>
      </c>
      <c r="V32" s="110">
        <f>IF('(STEP 1) Baseline Conditions'!$B$6="Poor",('BMP Suitability 01'!V32*'BMP Removal Rates'!V$41)/100, IF('(STEP 1) Baseline Conditions'!$B$6="Average", ('BMP Suitability 01'!V32*'BMP Removal Rates'!V$42)/100, IF('(STEP 1) Baseline Conditions'!$B$6="Best",('BMP Suitability 01'!V32*'BMP Removal Rates'!V$38)/100)))</f>
        <v>0.72750000000000004</v>
      </c>
      <c r="W32" s="110">
        <f>IF('(STEP 1) Baseline Conditions'!$B$6="Poor",('BMP Suitability 01'!W32*'BMP Removal Rates'!W$41)/100, IF('(STEP 1) Baseline Conditions'!$B$6="Average", ('BMP Suitability 01'!W32*'BMP Removal Rates'!W$42)/100, IF('(STEP 1) Baseline Conditions'!$B$6="Best",('BMP Suitability 01'!W32*'BMP Removal Rates'!W$38)/100)))</f>
        <v>0.755</v>
      </c>
      <c r="X32" s="110">
        <f>IF('(STEP 1) Baseline Conditions'!$B$6="Poor",('BMP Suitability 01'!X32*'BMP Removal Rates'!X$41)/100, IF('(STEP 1) Baseline Conditions'!$B$6="Average", ('BMP Suitability 01'!X32*'BMP Removal Rates'!X$42)/100, IF('(STEP 1) Baseline Conditions'!$B$6="Best",('BMP Suitability 01'!X32*'BMP Removal Rates'!X$38)/100)))</f>
        <v>0</v>
      </c>
      <c r="Y32" s="110">
        <f>IF('(STEP 1) Baseline Conditions'!$B$6="Poor",('BMP Suitability 01'!Y32*'BMP Removal Rates'!Y$41)/100, IF('(STEP 1) Baseline Conditions'!$B$6="Average", ('BMP Suitability 01'!Y32*'BMP Removal Rates'!Y$42)/100, IF('(STEP 1) Baseline Conditions'!$B$6="Best",('BMP Suitability 01'!Y32*'BMP Removal Rates'!Y$38)/100)))</f>
        <v>0</v>
      </c>
      <c r="Z32" s="110">
        <f>IF('(STEP 1) Baseline Conditions'!$B$6="Poor",('BMP Suitability 01'!Z32*'BMP Removal Rates'!Z$41)/100, IF('(STEP 1) Baseline Conditions'!$B$6="Average", ('BMP Suitability 01'!Z32*'BMP Removal Rates'!Z$42)/100, IF('(STEP 1) Baseline Conditions'!$B$6="Best",('BMP Suitability 01'!Z32*'BMP Removal Rates'!Z$38)/100)))</f>
        <v>0.75</v>
      </c>
      <c r="AA32" s="110">
        <f>IF('(STEP 1) Baseline Conditions'!$B$6="Poor",('BMP Suitability 01'!AA32*'BMP Removal Rates'!AA$41)/100, IF('(STEP 1) Baseline Conditions'!$B$6="Average", ('BMP Suitability 01'!AA32*'BMP Removal Rates'!AA$42)/100, IF('(STEP 1) Baseline Conditions'!$B$6="Best",('BMP Suitability 01'!AA32*'BMP Removal Rates'!AA$38)/100)))</f>
        <v>0.71750000000000003</v>
      </c>
      <c r="AB32" s="110">
        <f>IF('(STEP 1) Baseline Conditions'!$B$6="Poor",('BMP Suitability 01'!AB32*'BMP Removal Rates'!AB$41)/100, IF('(STEP 1) Baseline Conditions'!$B$6="Average", ('BMP Suitability 01'!AB32*'BMP Removal Rates'!AB$42)/100, IF('(STEP 1) Baseline Conditions'!$B$6="Best",('BMP Suitability 01'!AB32*'BMP Removal Rates'!AB$38)/100)))</f>
        <v>0</v>
      </c>
      <c r="AC32" s="110">
        <f>IF('(STEP 1) Baseline Conditions'!$B$6="Poor",('BMP Suitability 01'!AC32*'BMP Removal Rates'!AC$41)/100, IF('(STEP 1) Baseline Conditions'!$B$6="Average", ('BMP Suitability 01'!AC32*'BMP Removal Rates'!AC$42)/100, IF('(STEP 1) Baseline Conditions'!$B$6="Best",('BMP Suitability 01'!AC32*'BMP Removal Rates'!AC$38)/100)))</f>
        <v>0</v>
      </c>
    </row>
    <row r="35" spans="1:29" x14ac:dyDescent="0.25">
      <c r="A35" t="s">
        <v>157</v>
      </c>
      <c r="B35" t="s">
        <v>156</v>
      </c>
      <c r="C35" t="s">
        <v>160</v>
      </c>
      <c r="D35" t="s">
        <v>162</v>
      </c>
      <c r="E35" t="s">
        <v>376</v>
      </c>
      <c r="F35" t="s">
        <v>162</v>
      </c>
      <c r="G35" t="s">
        <v>377</v>
      </c>
      <c r="J35">
        <v>90</v>
      </c>
      <c r="K35">
        <v>0</v>
      </c>
      <c r="L35" t="s">
        <v>163</v>
      </c>
      <c r="M35" t="s">
        <v>164</v>
      </c>
      <c r="N35" t="s">
        <v>165</v>
      </c>
      <c r="O35" s="69" t="s">
        <v>378</v>
      </c>
      <c r="P35" t="s">
        <v>166</v>
      </c>
      <c r="Q35" t="s">
        <v>164</v>
      </c>
      <c r="T35" t="s">
        <v>167</v>
      </c>
      <c r="U35" t="s">
        <v>168</v>
      </c>
      <c r="V35" t="s">
        <v>169</v>
      </c>
      <c r="W35" t="s">
        <v>170</v>
      </c>
      <c r="X35">
        <v>85</v>
      </c>
      <c r="Y35" t="s">
        <v>301</v>
      </c>
      <c r="Z35">
        <v>75</v>
      </c>
      <c r="AA35" t="s">
        <v>171</v>
      </c>
      <c r="AB35" t="s">
        <v>302</v>
      </c>
    </row>
    <row r="36" spans="1:29" x14ac:dyDescent="0.25">
      <c r="A36" t="s">
        <v>158</v>
      </c>
      <c r="B36" t="s">
        <v>159</v>
      </c>
      <c r="C36" t="s">
        <v>161</v>
      </c>
    </row>
    <row r="37" spans="1:29" x14ac:dyDescent="0.25">
      <c r="J37" s="46"/>
    </row>
    <row r="38" spans="1:29" x14ac:dyDescent="0.25">
      <c r="A38" t="s">
        <v>285</v>
      </c>
      <c r="B38">
        <v>87</v>
      </c>
      <c r="C38">
        <v>64.5</v>
      </c>
      <c r="D38">
        <v>62</v>
      </c>
      <c r="E38">
        <v>38.5</v>
      </c>
      <c r="F38">
        <v>40</v>
      </c>
      <c r="G38">
        <v>75</v>
      </c>
      <c r="H38">
        <v>95</v>
      </c>
      <c r="I38">
        <v>85</v>
      </c>
      <c r="J38">
        <v>90</v>
      </c>
      <c r="K38">
        <v>75</v>
      </c>
      <c r="L38">
        <v>69</v>
      </c>
      <c r="M38">
        <v>77.5</v>
      </c>
      <c r="N38">
        <v>87</v>
      </c>
      <c r="O38">
        <v>34</v>
      </c>
      <c r="P38">
        <v>87.5</v>
      </c>
      <c r="Q38">
        <v>77.5</v>
      </c>
      <c r="T38">
        <v>83.5</v>
      </c>
      <c r="U38">
        <v>67</v>
      </c>
      <c r="V38">
        <v>81.5</v>
      </c>
      <c r="W38">
        <v>77</v>
      </c>
      <c r="X38">
        <v>85</v>
      </c>
      <c r="Y38">
        <v>42</v>
      </c>
      <c r="Z38">
        <v>75</v>
      </c>
      <c r="AA38">
        <v>72.5</v>
      </c>
      <c r="AB38">
        <v>64.375</v>
      </c>
      <c r="AC38">
        <v>62</v>
      </c>
    </row>
    <row r="39" spans="1:29" x14ac:dyDescent="0.25">
      <c r="A39" t="s">
        <v>303</v>
      </c>
      <c r="B39">
        <v>62</v>
      </c>
      <c r="C39">
        <v>35</v>
      </c>
    </row>
    <row r="41" spans="1:29" x14ac:dyDescent="0.25">
      <c r="A41" s="119" t="s">
        <v>360</v>
      </c>
      <c r="B41" s="119">
        <v>30</v>
      </c>
      <c r="C41" s="119">
        <v>20</v>
      </c>
      <c r="D41" s="119">
        <v>32</v>
      </c>
      <c r="E41" s="119">
        <v>13</v>
      </c>
      <c r="F41" s="119">
        <v>32</v>
      </c>
      <c r="G41" s="119">
        <v>60</v>
      </c>
      <c r="H41" s="119">
        <v>95</v>
      </c>
      <c r="I41" s="119">
        <v>85</v>
      </c>
      <c r="J41" s="119">
        <v>90</v>
      </c>
      <c r="K41" s="119">
        <v>75</v>
      </c>
      <c r="L41" s="119">
        <v>43</v>
      </c>
      <c r="M41" s="119">
        <v>70</v>
      </c>
      <c r="N41" s="119">
        <v>77</v>
      </c>
      <c r="O41" s="119">
        <v>8</v>
      </c>
      <c r="P41" s="119">
        <v>80</v>
      </c>
      <c r="Q41" s="119">
        <v>70</v>
      </c>
      <c r="R41" s="119"/>
      <c r="S41" s="119"/>
      <c r="T41" s="119">
        <v>76</v>
      </c>
      <c r="U41" s="119">
        <v>38</v>
      </c>
      <c r="V41" s="119">
        <v>64</v>
      </c>
      <c r="W41" s="119">
        <v>74</v>
      </c>
      <c r="X41" s="119">
        <v>85</v>
      </c>
      <c r="Y41" s="119">
        <v>2</v>
      </c>
      <c r="Z41" s="119">
        <v>75</v>
      </c>
      <c r="AA41" s="119">
        <v>71</v>
      </c>
      <c r="AB41" s="119">
        <v>46.5</v>
      </c>
      <c r="AC41" s="119">
        <v>62</v>
      </c>
    </row>
    <row r="42" spans="1:29" x14ac:dyDescent="0.25">
      <c r="A42" s="119" t="s">
        <v>361</v>
      </c>
      <c r="B42" s="119">
        <f>AVERAGE(B41,B38)</f>
        <v>58.5</v>
      </c>
      <c r="C42" s="119">
        <f t="shared" ref="C42:AC42" si="0">AVERAGE(C41,C38)</f>
        <v>42.25</v>
      </c>
      <c r="D42" s="119">
        <f t="shared" si="0"/>
        <v>47</v>
      </c>
      <c r="E42" s="119">
        <f t="shared" si="0"/>
        <v>25.75</v>
      </c>
      <c r="F42" s="119">
        <f t="shared" si="0"/>
        <v>36</v>
      </c>
      <c r="G42" s="119">
        <f t="shared" si="0"/>
        <v>67.5</v>
      </c>
      <c r="H42" s="119">
        <f t="shared" si="0"/>
        <v>95</v>
      </c>
      <c r="I42" s="119">
        <f t="shared" si="0"/>
        <v>85</v>
      </c>
      <c r="J42" s="119">
        <f t="shared" si="0"/>
        <v>90</v>
      </c>
      <c r="K42" s="119">
        <f t="shared" si="0"/>
        <v>75</v>
      </c>
      <c r="L42" s="119">
        <f t="shared" si="0"/>
        <v>56</v>
      </c>
      <c r="M42" s="119">
        <f t="shared" si="0"/>
        <v>73.75</v>
      </c>
      <c r="N42" s="119">
        <f t="shared" si="0"/>
        <v>82</v>
      </c>
      <c r="O42" s="119">
        <f t="shared" si="0"/>
        <v>21</v>
      </c>
      <c r="P42" s="119">
        <f t="shared" si="0"/>
        <v>83.75</v>
      </c>
      <c r="Q42" s="119">
        <f t="shared" si="0"/>
        <v>73.75</v>
      </c>
      <c r="R42" s="119"/>
      <c r="S42" s="119"/>
      <c r="T42" s="119">
        <f t="shared" si="0"/>
        <v>79.75</v>
      </c>
      <c r="U42" s="119">
        <f t="shared" si="0"/>
        <v>52.5</v>
      </c>
      <c r="V42" s="119">
        <f t="shared" si="0"/>
        <v>72.75</v>
      </c>
      <c r="W42" s="119">
        <f t="shared" si="0"/>
        <v>75.5</v>
      </c>
      <c r="X42" s="119">
        <f t="shared" si="0"/>
        <v>85</v>
      </c>
      <c r="Y42" s="119">
        <f t="shared" si="0"/>
        <v>22</v>
      </c>
      <c r="Z42" s="119">
        <f t="shared" si="0"/>
        <v>75</v>
      </c>
      <c r="AA42" s="119">
        <f t="shared" si="0"/>
        <v>71.75</v>
      </c>
      <c r="AB42" s="119">
        <f t="shared" si="0"/>
        <v>55.4375</v>
      </c>
      <c r="AC42" s="119">
        <f t="shared" si="0"/>
        <v>62</v>
      </c>
    </row>
    <row r="43" spans="1:29" x14ac:dyDescent="0.25">
      <c r="A43" s="119" t="s">
        <v>362</v>
      </c>
      <c r="B43" s="119">
        <f>B38</f>
        <v>87</v>
      </c>
      <c r="C43" s="119">
        <f t="shared" ref="C43:AC43" si="1">C38</f>
        <v>64.5</v>
      </c>
      <c r="D43" s="119">
        <f t="shared" si="1"/>
        <v>62</v>
      </c>
      <c r="E43" s="119">
        <f t="shared" si="1"/>
        <v>38.5</v>
      </c>
      <c r="F43" s="119">
        <f t="shared" si="1"/>
        <v>40</v>
      </c>
      <c r="G43" s="119">
        <f t="shared" si="1"/>
        <v>75</v>
      </c>
      <c r="H43" s="119">
        <f t="shared" si="1"/>
        <v>95</v>
      </c>
      <c r="I43" s="119">
        <f t="shared" si="1"/>
        <v>85</v>
      </c>
      <c r="J43" s="119">
        <f t="shared" si="1"/>
        <v>90</v>
      </c>
      <c r="K43" s="119">
        <f t="shared" si="1"/>
        <v>75</v>
      </c>
      <c r="L43" s="119">
        <f t="shared" si="1"/>
        <v>69</v>
      </c>
      <c r="M43" s="119">
        <f t="shared" si="1"/>
        <v>77.5</v>
      </c>
      <c r="N43" s="119">
        <f t="shared" si="1"/>
        <v>87</v>
      </c>
      <c r="O43" s="119">
        <f t="shared" si="1"/>
        <v>34</v>
      </c>
      <c r="P43" s="119">
        <f t="shared" si="1"/>
        <v>87.5</v>
      </c>
      <c r="Q43" s="119">
        <f t="shared" si="1"/>
        <v>77.5</v>
      </c>
      <c r="R43" s="119"/>
      <c r="S43" s="119"/>
      <c r="T43" s="119">
        <f t="shared" si="1"/>
        <v>83.5</v>
      </c>
      <c r="U43" s="119">
        <f t="shared" si="1"/>
        <v>67</v>
      </c>
      <c r="V43" s="119">
        <f t="shared" si="1"/>
        <v>81.5</v>
      </c>
      <c r="W43" s="119">
        <f t="shared" si="1"/>
        <v>77</v>
      </c>
      <c r="X43" s="119">
        <f t="shared" si="1"/>
        <v>85</v>
      </c>
      <c r="Y43" s="119">
        <f t="shared" si="1"/>
        <v>42</v>
      </c>
      <c r="Z43" s="119">
        <f t="shared" si="1"/>
        <v>75</v>
      </c>
      <c r="AA43" s="119">
        <f t="shared" si="1"/>
        <v>72.5</v>
      </c>
      <c r="AB43" s="119">
        <f t="shared" si="1"/>
        <v>64.375</v>
      </c>
      <c r="AC43" s="119">
        <f t="shared" si="1"/>
        <v>62</v>
      </c>
    </row>
  </sheetData>
  <sheetProtection selectLockedCells="1" selectUnlockedCells="1"/>
  <mergeCells count="14">
    <mergeCell ref="AB1:AC1"/>
    <mergeCell ref="X1:Y1"/>
    <mergeCell ref="Z1:AA1"/>
    <mergeCell ref="N1:O1"/>
    <mergeCell ref="P1:Q1"/>
    <mergeCell ref="R1:S1"/>
    <mergeCell ref="T1:U1"/>
    <mergeCell ref="V1:W1"/>
    <mergeCell ref="L1:M1"/>
    <mergeCell ref="B1:C1"/>
    <mergeCell ref="D1:E1"/>
    <mergeCell ref="F1:G1"/>
    <mergeCell ref="H1:I1"/>
    <mergeCell ref="J1:K1"/>
  </mergeCells>
  <pageMargins left="0.7" right="0.7" top="0.75" bottom="0.75" header="0.3" footer="0.3"/>
  <pageSetup orientation="portrait" verticalDpi="0" r:id="rId1"/>
  <ignoredErrors>
    <ignoredError sqref="D16" evalError="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2" tint="-0.89999084444715716"/>
  </sheetPr>
  <dimension ref="A1:T43"/>
  <sheetViews>
    <sheetView zoomScale="85" zoomScaleNormal="85" workbookViewId="0">
      <selection activeCell="F7" sqref="F7"/>
    </sheetView>
  </sheetViews>
  <sheetFormatPr defaultRowHeight="15" x14ac:dyDescent="0.25"/>
  <cols>
    <col min="2" max="2" width="19.7109375" bestFit="1" customWidth="1"/>
    <col min="3" max="3" width="20.5703125" bestFit="1" customWidth="1"/>
    <col min="5" max="5" width="37.28515625" bestFit="1" customWidth="1"/>
    <col min="8" max="8" width="40.7109375" bestFit="1" customWidth="1"/>
    <col min="11" max="11" width="16.28515625" bestFit="1" customWidth="1"/>
    <col min="12" max="12" width="4.85546875" customWidth="1"/>
    <col min="13" max="13" width="4.5703125" customWidth="1"/>
    <col min="14" max="14" width="10.140625" bestFit="1" customWidth="1"/>
    <col min="15" max="15" width="56.85546875" bestFit="1" customWidth="1"/>
    <col min="18" max="18" width="22.42578125" bestFit="1" customWidth="1"/>
    <col min="20" max="20" width="27.140625" bestFit="1" customWidth="1"/>
  </cols>
  <sheetData>
    <row r="1" spans="1:20" ht="18.75" x14ac:dyDescent="0.3">
      <c r="A1" t="s">
        <v>59</v>
      </c>
      <c r="B1" t="s">
        <v>231</v>
      </c>
      <c r="C1" t="s">
        <v>232</v>
      </c>
      <c r="E1" s="189" t="s">
        <v>261</v>
      </c>
      <c r="F1" s="189"/>
      <c r="H1" s="189" t="s">
        <v>258</v>
      </c>
      <c r="I1" s="189"/>
      <c r="K1" s="71" t="s">
        <v>236</v>
      </c>
      <c r="L1" s="71">
        <v>2</v>
      </c>
      <c r="M1" s="71">
        <v>10</v>
      </c>
      <c r="N1" s="71" t="s">
        <v>304</v>
      </c>
      <c r="O1" s="71" t="s">
        <v>229</v>
      </c>
      <c r="P1" s="71"/>
      <c r="Q1" s="71"/>
      <c r="R1" s="71" t="s">
        <v>270</v>
      </c>
      <c r="S1" s="71"/>
      <c r="T1" s="71" t="s">
        <v>306</v>
      </c>
    </row>
    <row r="2" spans="1:20" ht="18.75" x14ac:dyDescent="0.3">
      <c r="A2" s="56">
        <v>-21</v>
      </c>
      <c r="B2">
        <v>22.9239</v>
      </c>
      <c r="C2">
        <v>1.24E-2</v>
      </c>
      <c r="E2" t="s">
        <v>233</v>
      </c>
      <c r="F2">
        <f>INDEX('Buffer Trapping Line'!$F$2:$F$31, MATCH('(STEP 1) Baseline Conditions'!$B$5,'Buffer Trapping Line'!$A$2:$A$31,0),0)</f>
        <v>2</v>
      </c>
      <c r="H2" t="s">
        <v>233</v>
      </c>
      <c r="I2">
        <f>INDEX('Buffer Trapping Line'!$F$2:$F$31, MATCH('(STEP 1) Baseline Conditions'!$B$5,'Buffer Trapping Line'!$A$2:$A$31,0),0)</f>
        <v>2</v>
      </c>
      <c r="K2" s="71" t="s">
        <v>237</v>
      </c>
      <c r="L2" s="71">
        <v>0</v>
      </c>
      <c r="M2" s="71">
        <v>3</v>
      </c>
      <c r="N2" s="71">
        <v>-1</v>
      </c>
      <c r="O2" s="71" t="s">
        <v>395</v>
      </c>
      <c r="P2" s="71">
        <v>1</v>
      </c>
      <c r="Q2" s="71"/>
      <c r="R2" s="71" t="s">
        <v>271</v>
      </c>
      <c r="S2" s="71"/>
      <c r="T2" s="71">
        <f>IF('(STEP 1) Baseline Conditions'!$B$13="50' (Public Water)", 35,10)</f>
        <v>35</v>
      </c>
    </row>
    <row r="3" spans="1:20" ht="18.75" x14ac:dyDescent="0.3">
      <c r="A3" s="56">
        <v>-20</v>
      </c>
      <c r="B3" s="56">
        <v>22.9239</v>
      </c>
      <c r="C3" s="56">
        <v>1.24E-2</v>
      </c>
      <c r="E3" t="s">
        <v>234</v>
      </c>
      <c r="F3">
        <f>INDEX('Buffer Trapping Line'!$L$2:$L$31, MATCH('(STEP 1) Baseline Conditions'!$B$5,'Buffer Trapping Line'!$A$2:$A$31, 0),0)</f>
        <v>1</v>
      </c>
      <c r="H3" t="s">
        <v>234</v>
      </c>
      <c r="I3">
        <f>INDEX('Buffer Trapping Line'!$L$2:$L$31, MATCH('(STEP 1) Baseline Conditions'!$B$5,'Buffer Trapping Line'!$A$2:$A$31, 0),0)</f>
        <v>1</v>
      </c>
      <c r="K3" s="71" t="s">
        <v>238</v>
      </c>
      <c r="L3" s="71">
        <v>-1</v>
      </c>
      <c r="M3" s="71">
        <v>2</v>
      </c>
      <c r="N3" s="71">
        <v>-1</v>
      </c>
      <c r="O3" s="71" t="s">
        <v>396</v>
      </c>
      <c r="P3" s="71">
        <v>2</v>
      </c>
      <c r="Q3" s="71"/>
      <c r="R3" s="71" t="s">
        <v>272</v>
      </c>
      <c r="S3" s="71"/>
      <c r="T3" s="71">
        <f>IF('(STEP 1) Baseline Conditions'!$B$13="50' (Public Water)", 25,5)</f>
        <v>25</v>
      </c>
    </row>
    <row r="4" spans="1:20" ht="18.75" x14ac:dyDescent="0.3">
      <c r="A4" s="56">
        <v>-19</v>
      </c>
      <c r="B4" s="56">
        <v>22.9239</v>
      </c>
      <c r="C4" s="56">
        <v>1.24E-2</v>
      </c>
      <c r="E4" t="s">
        <v>235</v>
      </c>
      <c r="F4">
        <f>INDEX('Buffer Trapping Line'!$I$2:$I$31, MATCH('(STEP 1) Baseline Conditions'!$B$5,'Buffer Trapping Line'!$A$2:$A$32, 0),0)</f>
        <v>10</v>
      </c>
      <c r="H4" t="s">
        <v>235</v>
      </c>
      <c r="I4" s="56">
        <f>INDEX('Buffer Trapping Line'!$I$2:$I$31, MATCH('(STEP 1) Baseline Conditions'!$B$5,'Buffer Trapping Line'!$A$2:$A$32, 0),0)</f>
        <v>10</v>
      </c>
      <c r="K4" s="71" t="s">
        <v>239</v>
      </c>
      <c r="L4" s="71">
        <v>-2</v>
      </c>
      <c r="M4" s="71">
        <v>1</v>
      </c>
      <c r="N4" s="71">
        <v>-1</v>
      </c>
      <c r="O4" s="71" t="s">
        <v>397</v>
      </c>
      <c r="P4" s="71">
        <v>3</v>
      </c>
      <c r="Q4" s="71"/>
      <c r="R4" s="71"/>
      <c r="S4" s="71"/>
      <c r="T4" s="71">
        <f>IF('(STEP 1) Baseline Conditions'!$B$13="50' (Public Water)", 16.5,5)</f>
        <v>16.5</v>
      </c>
    </row>
    <row r="5" spans="1:20" ht="18.75" x14ac:dyDescent="0.3">
      <c r="A5" s="56">
        <v>-18</v>
      </c>
      <c r="B5" s="56">
        <v>22.9239</v>
      </c>
      <c r="C5" s="56">
        <v>1.24E-2</v>
      </c>
      <c r="E5" t="s">
        <v>54</v>
      </c>
      <c r="F5">
        <f>INDEX($L$2:$M$20, MATCH('(STEP 1) Baseline Conditions'!$B$14, 'Dosskey Coefficients'!$K$2:$K$20, 0), MATCH('Dosskey Coefficients'!$I$4, 'Dosskey Coefficients'!$L$1:$M$1, 0))</f>
        <v>3</v>
      </c>
      <c r="H5" t="s">
        <v>54</v>
      </c>
      <c r="I5">
        <f>INDEX($L$2:$M$20, MATCH('(STEP 1) Baseline Conditions'!$B$14, 'Dosskey Coefficients'!$K$2:$K$20, 0), MATCH('Dosskey Coefficients'!$I$4, 'Dosskey Coefficients'!$L$1:$M$1, 0))</f>
        <v>3</v>
      </c>
      <c r="K5" s="71" t="s">
        <v>240</v>
      </c>
      <c r="L5" s="71">
        <v>-3</v>
      </c>
      <c r="M5" s="71">
        <v>0</v>
      </c>
      <c r="N5" s="71">
        <v>-1</v>
      </c>
      <c r="O5" s="71"/>
      <c r="P5" s="71"/>
      <c r="Q5" s="71"/>
      <c r="R5" s="71"/>
      <c r="S5" s="71"/>
      <c r="T5" s="71"/>
    </row>
    <row r="6" spans="1:20" ht="18.75" x14ac:dyDescent="0.3">
      <c r="A6" s="56">
        <v>-17</v>
      </c>
      <c r="B6" s="56">
        <v>22.9239</v>
      </c>
      <c r="C6" s="56">
        <v>1.24E-2</v>
      </c>
      <c r="E6" t="s">
        <v>256</v>
      </c>
      <c r="F6">
        <f>INDEX('Buffer Trapping Line'!$M$2:$M$31, MATCH('(STEP 1) Baseline Conditions'!$B$5, 'Buffer Trapping Line'!$A$2:$A$31, 0), 0)</f>
        <v>3</v>
      </c>
      <c r="H6" t="s">
        <v>256</v>
      </c>
      <c r="I6">
        <f>INDEX('Buffer Trapping Line'!$M$2:$M$31, MATCH('(STEP 1) Baseline Conditions'!$B$5, 'Buffer Trapping Line'!$A$2:$A$31, 0), 0)</f>
        <v>3</v>
      </c>
      <c r="K6" s="71" t="s">
        <v>241</v>
      </c>
      <c r="L6" s="71">
        <v>-4</v>
      </c>
      <c r="M6" s="71">
        <v>0</v>
      </c>
      <c r="N6" s="71">
        <v>1</v>
      </c>
      <c r="O6" s="71"/>
      <c r="P6" s="71"/>
      <c r="Q6" s="71"/>
      <c r="R6" s="71"/>
      <c r="S6" s="71"/>
      <c r="T6" s="71"/>
    </row>
    <row r="7" spans="1:20" ht="18.75" x14ac:dyDescent="0.3">
      <c r="A7" s="56">
        <v>-16</v>
      </c>
      <c r="B7" s="56">
        <v>22.9239</v>
      </c>
      <c r="C7" s="56">
        <v>1.24E-2</v>
      </c>
      <c r="E7" t="s">
        <v>257</v>
      </c>
      <c r="F7">
        <f>F6-INDEX('Dosskey Coefficients'!$P$2:$P$4, MATCH('(STEP 1) Baseline Conditions'!$B$15, 'Dosskey Coefficients'!$O$2:$O$4,0), 0)</f>
        <v>1</v>
      </c>
      <c r="H7" t="s">
        <v>257</v>
      </c>
      <c r="I7">
        <f>I6-INDEX('Dosskey Coefficients'!$P$2:$P$4, MATCH('(STEP 1) Baseline Conditions'!$B$15, 'Dosskey Coefficients'!$O$2:$O$4,0), 0)</f>
        <v>1</v>
      </c>
      <c r="K7" s="71" t="s">
        <v>242</v>
      </c>
      <c r="L7" s="71">
        <v>-5</v>
      </c>
      <c r="M7" s="71">
        <v>-1</v>
      </c>
      <c r="N7" s="71">
        <v>2</v>
      </c>
      <c r="O7" s="71"/>
      <c r="P7" s="71"/>
      <c r="Q7" s="71"/>
      <c r="R7" s="71"/>
      <c r="S7" s="71"/>
      <c r="T7" s="71"/>
    </row>
    <row r="8" spans="1:20" ht="18.75" x14ac:dyDescent="0.3">
      <c r="A8" s="56">
        <v>-15</v>
      </c>
      <c r="B8" s="56">
        <v>22.9239</v>
      </c>
      <c r="C8" s="56">
        <v>1.24E-2</v>
      </c>
      <c r="E8" t="s">
        <v>259</v>
      </c>
      <c r="F8">
        <f>INDEX('Buffer Trapping Line'!$O$2:$O$31,MATCH('(STEP 1) Baseline Conditions'!$B$5,'Buffer Trapping Line'!$A$2:$A$31,0),0)</f>
        <v>3</v>
      </c>
      <c r="H8" t="s">
        <v>259</v>
      </c>
      <c r="I8">
        <f>INDEX('Buffer Trapping Line'!$O$2:$O$31,MATCH('(STEP 1) Baseline Conditions'!$B$5,'Buffer Trapping Line'!$A$2:$A$31,0),0)</f>
        <v>3</v>
      </c>
      <c r="K8" s="71" t="s">
        <v>243</v>
      </c>
      <c r="L8" s="71">
        <v>-6</v>
      </c>
      <c r="M8" s="71">
        <v>-2</v>
      </c>
      <c r="N8" s="71">
        <v>3</v>
      </c>
      <c r="O8" s="71"/>
      <c r="P8" s="71"/>
      <c r="Q8" s="71"/>
      <c r="R8" s="71"/>
      <c r="S8" s="71"/>
      <c r="T8" s="71"/>
    </row>
    <row r="9" spans="1:20" ht="19.5" thickBot="1" x14ac:dyDescent="0.35">
      <c r="A9" s="56">
        <v>-14</v>
      </c>
      <c r="B9" s="56">
        <v>22.9239</v>
      </c>
      <c r="C9" s="56">
        <v>1.24E-2</v>
      </c>
      <c r="E9" t="s">
        <v>260</v>
      </c>
      <c r="F9">
        <f>IF(F8=0,3,0)</f>
        <v>0</v>
      </c>
      <c r="H9" t="s">
        <v>260</v>
      </c>
      <c r="I9">
        <f>IF(I8=0, 2,-1)</f>
        <v>-1</v>
      </c>
      <c r="K9" s="71" t="s">
        <v>244</v>
      </c>
      <c r="L9" s="71">
        <v>-7</v>
      </c>
      <c r="M9" s="71">
        <v>-3</v>
      </c>
      <c r="N9" s="71">
        <v>4</v>
      </c>
      <c r="O9" s="71"/>
      <c r="P9" s="71"/>
      <c r="Q9" s="71"/>
      <c r="R9" s="71"/>
      <c r="S9" s="71"/>
      <c r="T9" s="71"/>
    </row>
    <row r="10" spans="1:20" ht="19.5" thickBot="1" x14ac:dyDescent="0.35">
      <c r="A10" s="56">
        <v>-13</v>
      </c>
      <c r="B10" s="56">
        <v>22.9239</v>
      </c>
      <c r="C10" s="56">
        <v>1.24E-2</v>
      </c>
      <c r="E10" s="58" t="s">
        <v>262</v>
      </c>
      <c r="F10" s="59">
        <f>IF('(STEP 1) Baseline Conditions'!B6="Poor", (F2+F3+F5+F7+F9)-1, F2+F3+F5+F7+F9)</f>
        <v>7</v>
      </c>
      <c r="H10" s="58" t="s">
        <v>263</v>
      </c>
      <c r="I10" s="59">
        <f>IF('(STEP 1) Baseline Conditions'!B6="Poor", (I2+I3+I5+I7+I9)-1, I2+I3+I5+I7+I9)</f>
        <v>6</v>
      </c>
      <c r="K10" s="71" t="s">
        <v>245</v>
      </c>
      <c r="L10" s="71">
        <v>-8</v>
      </c>
      <c r="M10" s="71">
        <v>-4</v>
      </c>
      <c r="N10" s="71">
        <v>5</v>
      </c>
      <c r="O10" s="71"/>
      <c r="P10" s="71"/>
      <c r="Q10" s="71"/>
      <c r="R10" s="71"/>
      <c r="S10" s="71"/>
      <c r="T10" s="71"/>
    </row>
    <row r="11" spans="1:20" ht="18.75" x14ac:dyDescent="0.3">
      <c r="A11" s="56">
        <v>-12</v>
      </c>
      <c r="B11" s="56">
        <v>22.9239</v>
      </c>
      <c r="C11" s="56">
        <v>1.24E-2</v>
      </c>
      <c r="K11" s="71" t="s">
        <v>246</v>
      </c>
      <c r="L11" s="71">
        <v>-9</v>
      </c>
      <c r="M11" s="71">
        <v>-5</v>
      </c>
      <c r="N11" s="71">
        <v>6</v>
      </c>
      <c r="O11" s="71"/>
      <c r="P11" s="71"/>
      <c r="Q11" s="71"/>
      <c r="R11" s="71"/>
      <c r="S11" s="71"/>
      <c r="T11" s="71"/>
    </row>
    <row r="12" spans="1:20" ht="18.75" x14ac:dyDescent="0.3">
      <c r="A12" s="56">
        <v>-11</v>
      </c>
      <c r="B12" s="56">
        <v>22.9239</v>
      </c>
      <c r="C12" s="56">
        <v>1.24E-2</v>
      </c>
      <c r="E12" t="s">
        <v>266</v>
      </c>
      <c r="F12">
        <f xml:space="preserve"> (INDEX(B2:B43, MATCH($F$10,A2:A43,0),0))*(1-EXP(-(INDEX(C2:C43,MATCH($F$10,A2:A43,0),0))*5.03))</f>
        <v>100</v>
      </c>
      <c r="H12" t="s">
        <v>265</v>
      </c>
      <c r="I12">
        <f xml:space="preserve"> (INDEX(B2:B43, MATCH($I$10,A2:A43,0),0))*(1-EXP(-(INDEX(C2:C43,MATCH($I$10,A2:A43,0),0))*5.03))</f>
        <v>76.941562989445956</v>
      </c>
      <c r="K12" s="71" t="s">
        <v>247</v>
      </c>
      <c r="L12" s="71">
        <v>-10</v>
      </c>
      <c r="M12" s="71">
        <v>-6</v>
      </c>
      <c r="N12" s="71">
        <v>7</v>
      </c>
      <c r="O12" s="71"/>
      <c r="P12" s="71"/>
      <c r="Q12" s="71"/>
      <c r="R12" s="71"/>
      <c r="S12" s="71"/>
      <c r="T12" s="71"/>
    </row>
    <row r="13" spans="1:20" ht="18.75" x14ac:dyDescent="0.3">
      <c r="A13" s="56">
        <v>-10</v>
      </c>
      <c r="B13" s="56">
        <v>22.9239</v>
      </c>
      <c r="C13" s="56">
        <v>1.24E-2</v>
      </c>
      <c r="E13" t="s">
        <v>267</v>
      </c>
      <c r="F13">
        <f xml:space="preserve"> (INDEX($B$2:$B$43, MATCH($F$10,A2:A43,0),0))*(1-EXP(-(INDEX(C2:C43,MATCH($F$10,A2:A43,0),0))*15.24))</f>
        <v>100</v>
      </c>
      <c r="H13" t="s">
        <v>264</v>
      </c>
      <c r="I13">
        <f xml:space="preserve"> (INDEX($B$2:$B$43, MATCH($I$10,$A$2:$A$43,0),0))*(1-EXP(-(INDEX($C$2:$C$43,MATCH($I$10,$A$2:$A$43,0),0))*15.24))</f>
        <v>96.185319101688194</v>
      </c>
      <c r="K13" s="71" t="s">
        <v>248</v>
      </c>
      <c r="L13" s="71">
        <v>-11</v>
      </c>
      <c r="M13" s="71">
        <v>-7</v>
      </c>
      <c r="N13" s="71">
        <v>8</v>
      </c>
      <c r="O13" s="71"/>
      <c r="P13" s="71"/>
      <c r="Q13" s="71"/>
      <c r="R13" s="71"/>
      <c r="S13" s="71"/>
      <c r="T13" s="71"/>
    </row>
    <row r="14" spans="1:20" ht="18.75" x14ac:dyDescent="0.3">
      <c r="A14" s="56">
        <v>-9</v>
      </c>
      <c r="B14" s="56">
        <v>22.9239</v>
      </c>
      <c r="C14" s="56">
        <v>1.24E-2</v>
      </c>
      <c r="K14" s="71" t="s">
        <v>249</v>
      </c>
      <c r="L14" s="71">
        <v>-12</v>
      </c>
      <c r="M14" s="71">
        <v>-8</v>
      </c>
      <c r="N14" s="71">
        <v>9</v>
      </c>
      <c r="O14" s="71"/>
      <c r="P14" s="71"/>
      <c r="Q14" s="71"/>
      <c r="R14" s="71"/>
      <c r="S14" s="71"/>
      <c r="T14" s="71"/>
    </row>
    <row r="15" spans="1:20" ht="18.75" x14ac:dyDescent="0.3">
      <c r="A15" s="56">
        <v>-8</v>
      </c>
      <c r="B15" s="56">
        <v>22.9239</v>
      </c>
      <c r="C15" s="56">
        <v>1.24E-2</v>
      </c>
      <c r="E15" t="s">
        <v>309</v>
      </c>
      <c r="F15" s="56">
        <f xml:space="preserve"> (INDEX($B$2:$B$43, MATCH($F$10,$A$2:$A$43,0),0))*(1-EXP(-(INDEX($C$2:$C$43,MATCH($F$10,$A$2:$A$43,0),0))*0.305*'(STEP 2) Alternative BMP Choice'!E11))</f>
        <v>100</v>
      </c>
      <c r="H15" t="s">
        <v>308</v>
      </c>
      <c r="I15">
        <f xml:space="preserve"> (INDEX($B$2:$B$43, MATCH($I$10,$A$2:$A$43,0),0))*(1-EXP(-(INDEX($C$2:$C$43,MATCH($I$10,$A$2:$A$43,0),0))*(0.305*'(STEP 2) Alternative BMP Choice'!E11)))</f>
        <v>76.957270819177609</v>
      </c>
      <c r="K15" s="71" t="s">
        <v>250</v>
      </c>
      <c r="L15" s="71">
        <v>-13</v>
      </c>
      <c r="M15" s="71">
        <v>-9</v>
      </c>
      <c r="N15" s="71">
        <v>10</v>
      </c>
      <c r="O15" s="71"/>
      <c r="P15" s="71"/>
      <c r="Q15" s="71"/>
      <c r="R15" s="71"/>
      <c r="S15" s="71"/>
      <c r="T15" s="71"/>
    </row>
    <row r="16" spans="1:20" ht="18.75" x14ac:dyDescent="0.3">
      <c r="A16" s="56">
        <v>-7</v>
      </c>
      <c r="B16" s="56">
        <v>22.9239</v>
      </c>
      <c r="C16" s="56">
        <v>1.24E-2</v>
      </c>
      <c r="K16" s="71" t="s">
        <v>251</v>
      </c>
      <c r="L16" s="71">
        <v>-14</v>
      </c>
      <c r="M16" s="71">
        <v>-10</v>
      </c>
      <c r="N16" s="71">
        <v>11</v>
      </c>
      <c r="O16" s="71"/>
      <c r="P16" s="71"/>
      <c r="Q16" s="71"/>
      <c r="R16" s="71"/>
      <c r="S16" s="71"/>
      <c r="T16" s="71"/>
    </row>
    <row r="17" spans="1:20" ht="18.75" x14ac:dyDescent="0.3">
      <c r="A17" s="56">
        <v>-6</v>
      </c>
      <c r="B17" s="56">
        <v>22.9239</v>
      </c>
      <c r="C17" s="56">
        <v>1.24E-2</v>
      </c>
      <c r="K17" s="71" t="s">
        <v>252</v>
      </c>
      <c r="L17" s="71">
        <v>-15</v>
      </c>
      <c r="M17" s="71">
        <v>-11</v>
      </c>
      <c r="N17" s="71">
        <v>12</v>
      </c>
      <c r="O17" s="71"/>
      <c r="P17" s="71"/>
      <c r="Q17" s="71"/>
      <c r="R17" s="71"/>
      <c r="S17" s="71"/>
      <c r="T17" s="71"/>
    </row>
    <row r="18" spans="1:20" ht="18.75" x14ac:dyDescent="0.3">
      <c r="A18" s="56">
        <v>-5</v>
      </c>
      <c r="B18" s="56">
        <v>22.9239</v>
      </c>
      <c r="C18" s="56">
        <v>1.24E-2</v>
      </c>
      <c r="K18" s="71" t="s">
        <v>253</v>
      </c>
      <c r="L18" s="71">
        <v>-16</v>
      </c>
      <c r="M18" s="71">
        <v>-12</v>
      </c>
      <c r="N18" s="71">
        <v>13</v>
      </c>
      <c r="O18" s="71"/>
      <c r="P18" s="71"/>
      <c r="Q18" s="71"/>
      <c r="R18" s="71"/>
      <c r="S18" s="71"/>
      <c r="T18" s="71"/>
    </row>
    <row r="19" spans="1:20" ht="18.75" x14ac:dyDescent="0.3">
      <c r="A19" s="56">
        <v>-4</v>
      </c>
      <c r="B19" s="56">
        <v>22.9239</v>
      </c>
      <c r="C19" s="56">
        <v>1.24E-2</v>
      </c>
      <c r="K19" s="71" t="s">
        <v>254</v>
      </c>
      <c r="L19" s="71">
        <v>-17</v>
      </c>
      <c r="M19" s="71">
        <v>-13</v>
      </c>
      <c r="N19" s="71">
        <v>14</v>
      </c>
      <c r="O19" s="71"/>
      <c r="P19" s="71"/>
      <c r="Q19" s="71"/>
      <c r="R19" s="71"/>
      <c r="S19" s="71"/>
      <c r="T19" s="71"/>
    </row>
    <row r="20" spans="1:20" ht="18.75" x14ac:dyDescent="0.3">
      <c r="A20" s="56">
        <v>-3</v>
      </c>
      <c r="B20" s="56">
        <v>22.9239</v>
      </c>
      <c r="C20" s="56">
        <v>1.24E-2</v>
      </c>
      <c r="K20" s="71" t="s">
        <v>255</v>
      </c>
      <c r="L20" s="71">
        <v>-18</v>
      </c>
      <c r="M20" s="71">
        <v>-14</v>
      </c>
      <c r="N20" s="71">
        <v>15</v>
      </c>
      <c r="O20" s="71"/>
      <c r="P20" s="71"/>
      <c r="Q20" s="71"/>
      <c r="R20" s="71"/>
      <c r="S20" s="71"/>
      <c r="T20" s="71"/>
    </row>
    <row r="21" spans="1:20" x14ac:dyDescent="0.25">
      <c r="A21" s="56">
        <v>-2</v>
      </c>
      <c r="B21" s="56">
        <v>22.9239</v>
      </c>
      <c r="C21" s="56">
        <v>1.24E-2</v>
      </c>
    </row>
    <row r="22" spans="1:20" x14ac:dyDescent="0.25">
      <c r="A22">
        <v>-1</v>
      </c>
      <c r="B22">
        <v>22.9239</v>
      </c>
      <c r="C22">
        <v>1.24E-2</v>
      </c>
    </row>
    <row r="23" spans="1:20" x14ac:dyDescent="0.25">
      <c r="A23">
        <v>0</v>
      </c>
      <c r="B23">
        <v>22.9239</v>
      </c>
      <c r="C23">
        <v>1.24E-2</v>
      </c>
    </row>
    <row r="24" spans="1:20" x14ac:dyDescent="0.25">
      <c r="A24">
        <v>1</v>
      </c>
      <c r="B24">
        <v>22.9239</v>
      </c>
      <c r="C24">
        <v>1.24E-2</v>
      </c>
    </row>
    <row r="25" spans="1:20" x14ac:dyDescent="0.25">
      <c r="A25">
        <v>2</v>
      </c>
      <c r="B25">
        <v>41.854300000000002</v>
      </c>
      <c r="C25">
        <v>3.6200000000000003E-2</v>
      </c>
    </row>
    <row r="26" spans="1:20" x14ac:dyDescent="0.25">
      <c r="A26">
        <v>3</v>
      </c>
      <c r="B26">
        <v>95.009799999999998</v>
      </c>
      <c r="C26">
        <v>2.5000000000000001E-2</v>
      </c>
    </row>
    <row r="27" spans="1:20" x14ac:dyDescent="0.25">
      <c r="A27">
        <v>4</v>
      </c>
      <c r="B27">
        <v>95.52</v>
      </c>
      <c r="C27">
        <v>5.11E-2</v>
      </c>
      <c r="H27" t="s">
        <v>296</v>
      </c>
      <c r="I27">
        <f>'(STEP 2) Alternative BMP Choice'!D19/'(STEP 1) Baseline Conditions'!B9</f>
        <v>0.76957270819177603</v>
      </c>
    </row>
    <row r="28" spans="1:20" x14ac:dyDescent="0.25">
      <c r="A28">
        <v>5</v>
      </c>
      <c r="B28">
        <v>97.318399999999997</v>
      </c>
      <c r="C28">
        <v>0.1103</v>
      </c>
    </row>
    <row r="29" spans="1:20" x14ac:dyDescent="0.25">
      <c r="A29">
        <v>6</v>
      </c>
      <c r="B29">
        <v>97.004099999999994</v>
      </c>
      <c r="C29">
        <v>0.31330000000000002</v>
      </c>
    </row>
    <row r="30" spans="1:20" x14ac:dyDescent="0.25">
      <c r="A30">
        <v>7</v>
      </c>
      <c r="B30">
        <v>100</v>
      </c>
      <c r="C30">
        <v>10000000000</v>
      </c>
      <c r="H30" t="s">
        <v>295</v>
      </c>
      <c r="I30">
        <f>IF($I$27&lt;1, (LN(((($I$13-$I$27)/(INDEX($B$2:$B$43, MATCH($I$10,$A$2:$A$43,0),0))-1)*(-1))))/-0.313,0)</f>
        <v>13.137556656530252</v>
      </c>
    </row>
    <row r="31" spans="1:20" x14ac:dyDescent="0.25">
      <c r="A31">
        <v>8</v>
      </c>
      <c r="B31" s="56">
        <v>100</v>
      </c>
      <c r="C31" s="56">
        <v>10000000000</v>
      </c>
      <c r="H31" t="s">
        <v>297</v>
      </c>
      <c r="I31">
        <f>I30*3.28084</f>
        <v>43.102221381010715</v>
      </c>
    </row>
    <row r="32" spans="1:20" x14ac:dyDescent="0.25">
      <c r="A32">
        <v>9</v>
      </c>
      <c r="B32" s="56">
        <v>100</v>
      </c>
      <c r="C32" s="56">
        <v>10000000000</v>
      </c>
    </row>
    <row r="33" spans="1:9" x14ac:dyDescent="0.25">
      <c r="A33">
        <v>10</v>
      </c>
      <c r="B33" s="56">
        <v>100</v>
      </c>
      <c r="C33" s="56">
        <v>10000000000</v>
      </c>
    </row>
    <row r="34" spans="1:9" x14ac:dyDescent="0.25">
      <c r="A34">
        <v>11</v>
      </c>
      <c r="B34" s="56">
        <v>100</v>
      </c>
      <c r="C34" s="56">
        <v>10000000000</v>
      </c>
    </row>
    <row r="35" spans="1:9" x14ac:dyDescent="0.25">
      <c r="A35">
        <v>12</v>
      </c>
      <c r="B35" s="56">
        <v>100</v>
      </c>
      <c r="C35" s="56">
        <v>10000000000</v>
      </c>
      <c r="H35" t="s">
        <v>298</v>
      </c>
      <c r="I35">
        <f>(LN(((((100*('(STEP 1) Baseline Conditions'!$B$17/'(STEP 1) Baseline Conditions'!$B$9)))/(INDEX($B$2:$B$43, MATCH($I$10,$A$2:$A$43,0),0))-1)*(-1))))/-0.313</f>
        <v>15.254607028754013</v>
      </c>
    </row>
    <row r="36" spans="1:9" x14ac:dyDescent="0.25">
      <c r="A36">
        <v>13</v>
      </c>
      <c r="B36" s="56">
        <v>100</v>
      </c>
      <c r="C36" s="56">
        <v>10000000000</v>
      </c>
      <c r="H36" s="56" t="s">
        <v>299</v>
      </c>
      <c r="I36">
        <f>I35*3.28084</f>
        <v>50.047924924217313</v>
      </c>
    </row>
    <row r="37" spans="1:9" x14ac:dyDescent="0.25">
      <c r="A37">
        <v>14</v>
      </c>
      <c r="B37" s="56">
        <v>100</v>
      </c>
      <c r="C37" s="56">
        <v>10000000000</v>
      </c>
    </row>
    <row r="38" spans="1:9" x14ac:dyDescent="0.25">
      <c r="A38">
        <v>15</v>
      </c>
      <c r="B38" s="56">
        <v>100</v>
      </c>
      <c r="C38" s="56">
        <v>10000000000</v>
      </c>
      <c r="H38" t="s">
        <v>300</v>
      </c>
      <c r="I38">
        <f>('(STEP 1) Baseline Conditions'!B17/'(STEP 1) Baseline Conditions'!B9)-('(STEP 2) Alternative BMP Choice'!D19/'(STEP 1) Baseline Conditions'!B9)</f>
        <v>0.1922804828251059</v>
      </c>
    </row>
    <row r="39" spans="1:9" x14ac:dyDescent="0.25">
      <c r="A39">
        <v>16</v>
      </c>
      <c r="B39" s="56">
        <v>100</v>
      </c>
      <c r="C39" s="56">
        <v>10000000000</v>
      </c>
      <c r="H39" s="56" t="s">
        <v>298</v>
      </c>
      <c r="I39" s="56">
        <f>(LN(((((100*(I38)))/(INDEX($B$2:$B$43, MATCH($I$10,$A$2:$A$43,0),0))-1)*(-1))))/-0.313</f>
        <v>0.70581367538058903</v>
      </c>
    </row>
    <row r="40" spans="1:9" x14ac:dyDescent="0.25">
      <c r="A40">
        <v>17</v>
      </c>
      <c r="B40" s="56">
        <v>100</v>
      </c>
      <c r="C40" s="56">
        <v>10000000000</v>
      </c>
      <c r="H40" s="56" t="s">
        <v>299</v>
      </c>
      <c r="I40">
        <f>I39*3.28084</f>
        <v>2.3156617387356517</v>
      </c>
    </row>
    <row r="41" spans="1:9" x14ac:dyDescent="0.25">
      <c r="A41">
        <v>18</v>
      </c>
      <c r="B41" s="56">
        <v>100</v>
      </c>
      <c r="C41" s="56">
        <v>10000000000</v>
      </c>
    </row>
    <row r="42" spans="1:9" x14ac:dyDescent="0.25">
      <c r="A42">
        <v>19</v>
      </c>
      <c r="B42" s="56">
        <v>100</v>
      </c>
      <c r="C42" s="56">
        <v>10000000000</v>
      </c>
    </row>
    <row r="43" spans="1:9" x14ac:dyDescent="0.25">
      <c r="A43">
        <v>20</v>
      </c>
      <c r="B43" s="56">
        <v>100</v>
      </c>
      <c r="C43" s="56">
        <v>10000000000</v>
      </c>
    </row>
  </sheetData>
  <sheetProtection selectLockedCells="1" selectUnlockedCells="1"/>
  <mergeCells count="2">
    <mergeCell ref="H1:I1"/>
    <mergeCell ref="E1:F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2" tint="-0.89999084444715716"/>
  </sheetPr>
  <dimension ref="A1:AW34"/>
  <sheetViews>
    <sheetView topLeftCell="S148" zoomScale="60" zoomScaleNormal="60" workbookViewId="0">
      <selection activeCell="Z41" sqref="Z41"/>
    </sheetView>
  </sheetViews>
  <sheetFormatPr defaultRowHeight="15" x14ac:dyDescent="0.25"/>
  <cols>
    <col min="1" max="1" width="32.85546875" style="1" bestFit="1" customWidth="1"/>
    <col min="2" max="2" width="17.28515625" style="1" customWidth="1"/>
    <col min="3" max="7" width="21.42578125" style="1" customWidth="1"/>
    <col min="8" max="8" width="18.140625" style="11" customWidth="1"/>
    <col min="9" max="9" width="19.5703125" style="11" customWidth="1"/>
    <col min="10" max="10" width="16.5703125" style="11" customWidth="1"/>
    <col min="11" max="11" width="19.5703125" style="11" customWidth="1"/>
    <col min="12" max="12" width="16.5703125" style="11" customWidth="1"/>
    <col min="13" max="13" width="19.85546875" style="11" customWidth="1"/>
    <col min="14" max="15" width="16.5703125" style="11" customWidth="1"/>
    <col min="16" max="16" width="18.28515625" style="11" customWidth="1"/>
    <col min="17" max="17" width="19.85546875" style="11" customWidth="1"/>
    <col min="18" max="18" width="15.140625" style="11" customWidth="1"/>
    <col min="19" max="19" width="18.5703125" style="11" customWidth="1"/>
    <col min="20" max="20" width="15.140625" style="11" customWidth="1"/>
    <col min="21" max="21" width="18.5703125" style="11" customWidth="1"/>
    <col min="22" max="37" width="15.140625" style="11" customWidth="1"/>
  </cols>
  <sheetData>
    <row r="1" spans="1:49" ht="21" x14ac:dyDescent="0.35">
      <c r="B1" s="198" t="s">
        <v>104</v>
      </c>
      <c r="C1" s="198"/>
      <c r="D1" s="198"/>
      <c r="E1" s="198"/>
      <c r="F1" s="198"/>
      <c r="G1" s="198"/>
      <c r="H1" s="203" t="s">
        <v>105</v>
      </c>
      <c r="I1" s="203"/>
      <c r="J1" s="203"/>
      <c r="K1" s="203"/>
      <c r="L1" s="203"/>
      <c r="M1" s="203"/>
      <c r="N1" s="203"/>
      <c r="O1" s="203"/>
      <c r="P1" s="196" t="s">
        <v>108</v>
      </c>
      <c r="Q1" s="196"/>
      <c r="R1" s="196"/>
      <c r="S1" s="196"/>
      <c r="T1" s="196"/>
      <c r="U1" s="196"/>
      <c r="V1" s="196"/>
      <c r="W1" s="196"/>
      <c r="X1" s="203" t="s">
        <v>174</v>
      </c>
      <c r="Y1" s="203"/>
      <c r="Z1" s="203"/>
      <c r="AA1" s="203"/>
      <c r="AB1" s="203"/>
      <c r="AC1" s="203"/>
      <c r="AD1" s="196" t="s">
        <v>175</v>
      </c>
      <c r="AE1" s="196"/>
      <c r="AF1" s="196"/>
      <c r="AG1" s="196"/>
      <c r="AH1" s="196"/>
      <c r="AI1" s="196"/>
      <c r="AJ1" s="50"/>
      <c r="AK1" s="50"/>
      <c r="AL1" s="189" t="s">
        <v>128</v>
      </c>
      <c r="AM1" s="189"/>
      <c r="AN1" s="189"/>
      <c r="AO1" s="189"/>
      <c r="AP1" s="189"/>
      <c r="AQ1" s="189"/>
      <c r="AR1" s="189" t="s">
        <v>132</v>
      </c>
      <c r="AS1" s="189"/>
      <c r="AT1" s="189"/>
      <c r="AU1" s="189"/>
      <c r="AV1" s="189"/>
      <c r="AW1" s="189"/>
    </row>
    <row r="2" spans="1:49" ht="18.75" x14ac:dyDescent="0.3">
      <c r="B2" s="199" t="s">
        <v>289</v>
      </c>
      <c r="C2" s="200"/>
      <c r="D2" s="201" t="s">
        <v>111</v>
      </c>
      <c r="E2" s="202"/>
      <c r="F2" s="201" t="s">
        <v>112</v>
      </c>
      <c r="G2" s="202"/>
      <c r="H2" s="194" t="s">
        <v>289</v>
      </c>
      <c r="I2" s="195"/>
      <c r="J2" s="194" t="s">
        <v>111</v>
      </c>
      <c r="K2" s="195"/>
      <c r="L2" s="194" t="s">
        <v>112</v>
      </c>
      <c r="M2" s="195"/>
      <c r="N2" s="197" t="s">
        <v>123</v>
      </c>
      <c r="O2" s="197"/>
      <c r="P2" s="190" t="s">
        <v>289</v>
      </c>
      <c r="Q2" s="191"/>
      <c r="R2" s="190" t="s">
        <v>111</v>
      </c>
      <c r="S2" s="191"/>
      <c r="T2" s="190" t="s">
        <v>112</v>
      </c>
      <c r="U2" s="191"/>
      <c r="V2" s="192" t="s">
        <v>123</v>
      </c>
      <c r="W2" s="193"/>
      <c r="X2" s="204" t="s">
        <v>183</v>
      </c>
      <c r="Y2" s="204"/>
      <c r="Z2" s="204" t="s">
        <v>0</v>
      </c>
      <c r="AA2" s="204"/>
      <c r="AB2" s="204" t="s">
        <v>1</v>
      </c>
      <c r="AC2" s="204"/>
      <c r="AD2" s="193" t="s">
        <v>289</v>
      </c>
      <c r="AE2" s="193"/>
      <c r="AF2" s="193" t="s">
        <v>111</v>
      </c>
      <c r="AG2" s="193"/>
      <c r="AH2" s="193" t="s">
        <v>112</v>
      </c>
      <c r="AI2" s="193"/>
      <c r="AJ2" s="51"/>
      <c r="AK2" s="51"/>
      <c r="AL2" s="189" t="s">
        <v>129</v>
      </c>
      <c r="AM2" s="189"/>
      <c r="AN2" s="189"/>
      <c r="AO2" s="189" t="s">
        <v>130</v>
      </c>
      <c r="AP2" s="189"/>
      <c r="AQ2" s="189"/>
      <c r="AR2" s="189" t="s">
        <v>129</v>
      </c>
      <c r="AS2" s="189"/>
      <c r="AT2" s="189"/>
      <c r="AU2" s="189" t="s">
        <v>130</v>
      </c>
      <c r="AV2" s="189"/>
      <c r="AW2" s="189"/>
    </row>
    <row r="3" spans="1:49" s="1" customFormat="1" ht="45" x14ac:dyDescent="0.25">
      <c r="A3" s="1" t="s">
        <v>48</v>
      </c>
      <c r="B3" s="32" t="s">
        <v>103</v>
      </c>
      <c r="C3" s="33" t="s">
        <v>121</v>
      </c>
      <c r="D3" s="32" t="s">
        <v>103</v>
      </c>
      <c r="E3" s="33" t="s">
        <v>121</v>
      </c>
      <c r="F3" s="32" t="s">
        <v>103</v>
      </c>
      <c r="G3" s="33" t="s">
        <v>121</v>
      </c>
      <c r="H3" s="20" t="s">
        <v>103</v>
      </c>
      <c r="I3" s="21" t="s">
        <v>121</v>
      </c>
      <c r="J3" s="20" t="s">
        <v>103</v>
      </c>
      <c r="K3" s="21" t="s">
        <v>121</v>
      </c>
      <c r="L3" s="20" t="s">
        <v>103</v>
      </c>
      <c r="M3" s="21" t="s">
        <v>121</v>
      </c>
      <c r="N3" s="12" t="s">
        <v>106</v>
      </c>
      <c r="O3" s="12" t="s">
        <v>107</v>
      </c>
      <c r="P3" s="26" t="s">
        <v>103</v>
      </c>
      <c r="Q3" s="27" t="s">
        <v>121</v>
      </c>
      <c r="R3" s="26" t="s">
        <v>103</v>
      </c>
      <c r="S3" s="27" t="s">
        <v>121</v>
      </c>
      <c r="T3" s="26" t="s">
        <v>103</v>
      </c>
      <c r="U3" s="27" t="s">
        <v>121</v>
      </c>
      <c r="V3" s="8" t="s">
        <v>109</v>
      </c>
      <c r="W3" s="8" t="s">
        <v>110</v>
      </c>
      <c r="X3" s="12" t="s">
        <v>173</v>
      </c>
      <c r="Y3" s="12" t="s">
        <v>172</v>
      </c>
      <c r="Z3" s="12" t="s">
        <v>173</v>
      </c>
      <c r="AA3" s="12" t="s">
        <v>172</v>
      </c>
      <c r="AB3" s="12" t="s">
        <v>173</v>
      </c>
      <c r="AC3" s="12" t="s">
        <v>172</v>
      </c>
      <c r="AD3" s="8" t="s">
        <v>173</v>
      </c>
      <c r="AE3" s="8" t="s">
        <v>172</v>
      </c>
      <c r="AF3" s="8" t="s">
        <v>173</v>
      </c>
      <c r="AG3" s="8" t="s">
        <v>172</v>
      </c>
      <c r="AH3" s="8" t="s">
        <v>173</v>
      </c>
      <c r="AI3" s="8" t="s">
        <v>172</v>
      </c>
      <c r="AJ3" s="52"/>
      <c r="AK3" s="52"/>
      <c r="AL3" s="1" t="s">
        <v>125</v>
      </c>
      <c r="AM3" s="1" t="s">
        <v>126</v>
      </c>
      <c r="AN3" s="1" t="s">
        <v>127</v>
      </c>
      <c r="AO3" s="3" t="s">
        <v>125</v>
      </c>
      <c r="AP3" s="3" t="s">
        <v>126</v>
      </c>
      <c r="AQ3" s="3" t="s">
        <v>127</v>
      </c>
      <c r="AR3" s="7" t="s">
        <v>290</v>
      </c>
      <c r="AS3" s="7" t="s">
        <v>131</v>
      </c>
      <c r="AT3" s="7" t="s">
        <v>291</v>
      </c>
      <c r="AU3" s="7" t="s">
        <v>290</v>
      </c>
      <c r="AV3" s="7" t="s">
        <v>131</v>
      </c>
      <c r="AW3" s="7" t="s">
        <v>291</v>
      </c>
    </row>
    <row r="4" spans="1:49" ht="15.75" customHeight="1" x14ac:dyDescent="0.25">
      <c r="A4" s="1" t="s">
        <v>87</v>
      </c>
      <c r="B4" s="34">
        <f>D4*C_factor!E2</f>
        <v>2.3216250557950877</v>
      </c>
      <c r="C4" s="35">
        <f>'P Index Results'!B3/10</f>
        <v>0.84299999999999997</v>
      </c>
      <c r="D4" s="38">
        <v>2.08</v>
      </c>
      <c r="E4" s="35">
        <f>'P Index Results'!C3/10</f>
        <v>0.45099999999999996</v>
      </c>
      <c r="F4" s="34">
        <f>D4*C_factor!F2</f>
        <v>1.4034076578721861</v>
      </c>
      <c r="G4" s="35">
        <f>'P Index Results'!D3/10</f>
        <v>0.43899999999999995</v>
      </c>
      <c r="H4" s="22">
        <f t="shared" ref="H4:H33" si="0">B4*((100-N4)/100)</f>
        <v>1.3595451582548437</v>
      </c>
      <c r="I4" s="23">
        <f t="shared" ref="I4:I33" si="1">C4*((100-O4)/100)</f>
        <v>0.66048792074666185</v>
      </c>
      <c r="J4" s="22">
        <f t="shared" ref="J4:J33" si="2">D4*((100-N4)/100)</f>
        <v>1.2180493668051058</v>
      </c>
      <c r="K4" s="23">
        <f t="shared" ref="K4:K33" si="3">E4*((100-O4)/100)</f>
        <v>0.35335712011476217</v>
      </c>
      <c r="L4" s="22">
        <f t="shared" ref="L4:L33" si="4">F4*((100-N4)/100)</f>
        <v>0.82183644665415989</v>
      </c>
      <c r="M4" s="23">
        <f t="shared" ref="M4:M33" si="5">G4*((100-O4)/100)</f>
        <v>0.34395515683011213</v>
      </c>
      <c r="N4" s="13">
        <f>'Buffer Trapping Line'!V2*(1-EXP(-'Buffer Trapping Line'!W2*5.03))</f>
        <v>41.439934288216072</v>
      </c>
      <c r="O4" s="13">
        <f>'Buffer Trapping Line'!S2*(1-EXP(-'Buffer Trapping Line'!T2*5.03))</f>
        <v>21.650305961250073</v>
      </c>
      <c r="P4" s="28">
        <f t="shared" ref="P4:P33" si="6">B4*((100-V4)/100)</f>
        <v>0.48293506360864036</v>
      </c>
      <c r="Q4" s="29">
        <f t="shared" ref="Q4:Q33" si="7">C4*((100-W4)/100)</f>
        <v>0.40734684198422988</v>
      </c>
      <c r="R4" s="28">
        <f t="shared" ref="R4:R33" si="8">D4*((100-V4)/100)</f>
        <v>0.43267319578525087</v>
      </c>
      <c r="S4" s="29">
        <f t="shared" ref="S4:S33" si="9">E4*((100-W4)/100)</f>
        <v>0.21792814440674693</v>
      </c>
      <c r="T4" s="28">
        <f t="shared" ref="T4:T33" si="10">F4*((100-V4)/100)</f>
        <v>0.29193119053896766</v>
      </c>
      <c r="U4" s="29">
        <f t="shared" ref="U4:U33" si="11">G4*((100-W4)/100)</f>
        <v>0.21212961284825257</v>
      </c>
      <c r="V4" s="10">
        <f>'Buffer Trapping Line'!V2*(1-EXP(-'Buffer Trapping Line'!W2*15.24))</f>
        <v>79.198404048786017</v>
      </c>
      <c r="W4" s="10">
        <f>'Buffer Trapping Line'!S2*(1-EXP(-'Buffer Trapping Line'!T2*15.24))</f>
        <v>51.678903679213533</v>
      </c>
      <c r="X4" s="13">
        <f t="shared" ref="X4:AC4" si="12">B4-H4</f>
        <v>0.96207989754024403</v>
      </c>
      <c r="Y4" s="13">
        <f t="shared" si="12"/>
        <v>0.18251207925333812</v>
      </c>
      <c r="Z4" s="13">
        <f t="shared" si="12"/>
        <v>0.86195063319489429</v>
      </c>
      <c r="AA4" s="13">
        <f t="shared" si="12"/>
        <v>9.7642879885237788E-2</v>
      </c>
      <c r="AB4" s="13">
        <f t="shared" si="12"/>
        <v>0.58157121121802624</v>
      </c>
      <c r="AC4" s="13">
        <f t="shared" si="12"/>
        <v>9.5044843169887816E-2</v>
      </c>
      <c r="AD4" s="10">
        <f t="shared" ref="AD4:AI4" si="13">B4-P4</f>
        <v>1.8386899921864472</v>
      </c>
      <c r="AE4" s="10">
        <f t="shared" si="13"/>
        <v>0.43565315801577009</v>
      </c>
      <c r="AF4" s="10">
        <f t="shared" si="13"/>
        <v>1.6473268042147491</v>
      </c>
      <c r="AG4" s="10">
        <f t="shared" si="13"/>
        <v>0.23307185559325302</v>
      </c>
      <c r="AH4" s="10">
        <f t="shared" si="13"/>
        <v>1.1114764673332185</v>
      </c>
      <c r="AI4" s="10">
        <f t="shared" si="13"/>
        <v>0.22687038715174737</v>
      </c>
      <c r="AJ4" s="53"/>
      <c r="AK4" s="53"/>
      <c r="AL4" s="6">
        <f>N4</f>
        <v>41.439934288216072</v>
      </c>
      <c r="AM4" s="6">
        <f>V4-N4</f>
        <v>37.758469760569945</v>
      </c>
      <c r="AN4" s="6">
        <f>V4</f>
        <v>79.198404048786017</v>
      </c>
      <c r="AO4" s="6">
        <f>O4</f>
        <v>21.650305961250073</v>
      </c>
      <c r="AP4" s="6">
        <f>W4-O4</f>
        <v>30.028597717963461</v>
      </c>
      <c r="AQ4" s="6">
        <f>W4</f>
        <v>51.678903679213533</v>
      </c>
      <c r="AR4" s="40">
        <f>(1-(D4/B4))*100</f>
        <v>10.407583050155278</v>
      </c>
      <c r="AS4">
        <f>(1-(F4/D4))*100</f>
        <v>32.528477986914126</v>
      </c>
      <c r="AT4">
        <f>(1-(F4/B4))*100</f>
        <v>39.550632675629849</v>
      </c>
      <c r="AU4">
        <f>(1-(E4/C4))*100</f>
        <v>46.500593119810205</v>
      </c>
      <c r="AV4">
        <f>(1-(G4/E4))*100</f>
        <v>2.6607538802660757</v>
      </c>
      <c r="AW4">
        <f>(1-(G4/C4))*100</f>
        <v>47.924080664294188</v>
      </c>
    </row>
    <row r="5" spans="1:49" x14ac:dyDescent="0.25">
      <c r="A5" s="1" t="s">
        <v>19</v>
      </c>
      <c r="B5" s="34">
        <f>D5*C_factor!E3</f>
        <v>4.6168892442124712</v>
      </c>
      <c r="C5" s="35">
        <f>'P Index Results'!B4/10</f>
        <v>0.89800000000000002</v>
      </c>
      <c r="D5" s="38">
        <v>4.1399999999999997</v>
      </c>
      <c r="E5" s="35">
        <f>'P Index Results'!C4/10</f>
        <v>0.63100000000000001</v>
      </c>
      <c r="F5" s="34">
        <f>D5*C_factor!F3</f>
        <v>2.6312275414955963</v>
      </c>
      <c r="G5" s="35">
        <f>'P Index Results'!D4/10</f>
        <v>0.65700000000000003</v>
      </c>
      <c r="H5" s="22">
        <f t="shared" si="0"/>
        <v>1.0645824982237773</v>
      </c>
      <c r="I5" s="23">
        <f t="shared" si="1"/>
        <v>0.52586939009181966</v>
      </c>
      <c r="J5" s="22">
        <f t="shared" si="2"/>
        <v>0.95461929223693742</v>
      </c>
      <c r="K5" s="23">
        <f t="shared" si="3"/>
        <v>0.36951401464135658</v>
      </c>
      <c r="L5" s="22">
        <f t="shared" si="4"/>
        <v>0.60671994526011186</v>
      </c>
      <c r="M5" s="23">
        <f t="shared" si="5"/>
        <v>0.38473963172642039</v>
      </c>
      <c r="N5" s="13">
        <f>'Buffer Trapping Line'!V3*(1-EXP(-'Buffer Trapping Line'!W3*5.03))</f>
        <v>76.941562989445956</v>
      </c>
      <c r="O5" s="13">
        <f>'Buffer Trapping Line'!S3*(1-EXP(-'Buffer Trapping Line'!T3*5.03))</f>
        <v>41.439934288216072</v>
      </c>
      <c r="P5" s="28">
        <f t="shared" si="6"/>
        <v>0.17611959209518546</v>
      </c>
      <c r="Q5" s="29">
        <f t="shared" si="7"/>
        <v>0.18679833164190157</v>
      </c>
      <c r="R5" s="28">
        <f t="shared" si="8"/>
        <v>0.15792778919010877</v>
      </c>
      <c r="S5" s="29">
        <f t="shared" si="9"/>
        <v>0.13125807045216023</v>
      </c>
      <c r="T5" s="28">
        <f t="shared" si="10"/>
        <v>0.10037293441655187</v>
      </c>
      <c r="U5" s="29">
        <f t="shared" si="11"/>
        <v>0.13666648539947587</v>
      </c>
      <c r="V5" s="10">
        <f>'Buffer Trapping Line'!V3*(1-EXP(-'Buffer Trapping Line'!W3*15.24))</f>
        <v>96.185319101688194</v>
      </c>
      <c r="W5" s="10">
        <f>'Buffer Trapping Line'!S3*(1-EXP(-'Buffer Trapping Line'!T3*15.24))</f>
        <v>79.198404048786017</v>
      </c>
      <c r="X5" s="13">
        <f t="shared" ref="X5:X33" si="14">B5-H5</f>
        <v>3.5523067459886937</v>
      </c>
      <c r="Y5" s="13">
        <f t="shared" ref="Y5:Y33" si="15">C5-I5</f>
        <v>0.37213060990818037</v>
      </c>
      <c r="Z5" s="13">
        <f t="shared" ref="Z5:Z33" si="16">D5-J5</f>
        <v>3.1853807077630623</v>
      </c>
      <c r="AA5" s="13">
        <f t="shared" ref="AA5:AA33" si="17">E5-K5</f>
        <v>0.26148598535864342</v>
      </c>
      <c r="AB5" s="13">
        <f t="shared" ref="AB5:AB33" si="18">F5-L5</f>
        <v>2.0245075962354844</v>
      </c>
      <c r="AC5" s="13">
        <f t="shared" ref="AC5:AC33" si="19">G5-M5</f>
        <v>0.27226036827357963</v>
      </c>
      <c r="AD5" s="10">
        <f t="shared" ref="AD5:AD33" si="20">B5-P5</f>
        <v>4.4407696521172859</v>
      </c>
      <c r="AE5" s="10">
        <f t="shared" ref="AE5:AE33" si="21">C5-Q5</f>
        <v>0.71120166835809839</v>
      </c>
      <c r="AF5" s="10">
        <f t="shared" ref="AF5:AF33" si="22">D5-R5</f>
        <v>3.9820722108098909</v>
      </c>
      <c r="AG5" s="10">
        <f t="shared" ref="AG5:AG33" si="23">E5-S5</f>
        <v>0.4997419295478398</v>
      </c>
      <c r="AH5" s="10">
        <f t="shared" ref="AH5:AH33" si="24">F5-T5</f>
        <v>2.5308546070790445</v>
      </c>
      <c r="AI5" s="10">
        <f t="shared" ref="AI5:AI33" si="25">G5-U5</f>
        <v>0.52033351460052413</v>
      </c>
      <c r="AJ5" s="53"/>
      <c r="AK5" s="53"/>
      <c r="AL5" s="6">
        <f t="shared" ref="AL5:AL33" si="26">N5</f>
        <v>76.941562989445956</v>
      </c>
      <c r="AM5" s="6">
        <f t="shared" ref="AM5:AM33" si="27">V5-N5</f>
        <v>19.243756112242238</v>
      </c>
      <c r="AN5" s="6">
        <f t="shared" ref="AN5:AN33" si="28">V5</f>
        <v>96.185319101688194</v>
      </c>
      <c r="AO5" s="6">
        <f t="shared" ref="AO5:AO33" si="29">O5</f>
        <v>41.439934288216072</v>
      </c>
      <c r="AP5" s="6">
        <f t="shared" ref="AP5:AP33" si="30">W5-O5</f>
        <v>37.758469760569945</v>
      </c>
      <c r="AQ5" s="6">
        <f t="shared" ref="AQ5:AQ33" si="31">W5</f>
        <v>79.198404048786017</v>
      </c>
      <c r="AR5" s="40">
        <f t="shared" ref="AR5:AR33" si="32">((1-(D5/B5))*100)</f>
        <v>10.329232931248654</v>
      </c>
      <c r="AS5">
        <f t="shared" ref="AS5:AS33" si="33">(1-(F5/D5))*100</f>
        <v>36.443779190927614</v>
      </c>
      <c r="AT5">
        <f t="shared" ref="AT5:AT33" si="34">(1-(F5/B5))*100</f>
        <v>43.008649280595435</v>
      </c>
      <c r="AU5">
        <f t="shared" ref="AU5:AU33" si="35">(1-(E5/C5))*100</f>
        <v>29.732739420935417</v>
      </c>
      <c r="AV5">
        <f t="shared" ref="AV5:AV33" si="36">(1-(G5/E5))*100</f>
        <v>-4.1204437400950811</v>
      </c>
      <c r="AW5">
        <f t="shared" ref="AW5:AW33" si="37">(1-(G5/C5))*100</f>
        <v>26.837416481069042</v>
      </c>
    </row>
    <row r="6" spans="1:49" x14ac:dyDescent="0.25">
      <c r="A6" s="1" t="s">
        <v>20</v>
      </c>
      <c r="B6" s="34">
        <f>D6*C_factor!E4</f>
        <v>83.668249224423491</v>
      </c>
      <c r="C6" s="35">
        <f>'P Index Results'!B5/10</f>
        <v>7.141</v>
      </c>
      <c r="D6" s="38">
        <v>68.47</v>
      </c>
      <c r="E6" s="35">
        <f>'P Index Results'!C5/10</f>
        <v>5.1070000000000002</v>
      </c>
      <c r="F6" s="34">
        <f>D6*C_factor!F4</f>
        <v>54.938114792946536</v>
      </c>
      <c r="G6" s="35">
        <f>'P Index Results'!D5/10</f>
        <v>5.0540000000000003</v>
      </c>
      <c r="H6" s="22">
        <f t="shared" si="0"/>
        <v>82.508496654370532</v>
      </c>
      <c r="I6" s="23">
        <f t="shared" si="1"/>
        <v>7.0420162973467528</v>
      </c>
      <c r="J6" s="22">
        <f t="shared" si="2"/>
        <v>67.520915261074379</v>
      </c>
      <c r="K6" s="23">
        <f t="shared" si="3"/>
        <v>5.0362102269359843</v>
      </c>
      <c r="L6" s="22">
        <f t="shared" si="4"/>
        <v>54.176599876408936</v>
      </c>
      <c r="M6" s="23">
        <f t="shared" si="5"/>
        <v>4.9839448770186934</v>
      </c>
      <c r="N6" s="13">
        <f>'Buffer Trapping Line'!V4*(1-EXP(-'Buffer Trapping Line'!W4*5.03))</f>
        <v>1.3861322315256637</v>
      </c>
      <c r="O6" s="13">
        <f>'Buffer Trapping Line'!S4*(1-EXP(-'Buffer Trapping Line'!T4*5.03))</f>
        <v>1.3861322315256637</v>
      </c>
      <c r="P6" s="28">
        <f t="shared" si="6"/>
        <v>80.365571034252682</v>
      </c>
      <c r="Q6" s="29">
        <f t="shared" si="7"/>
        <v>6.8591197745306083</v>
      </c>
      <c r="R6" s="28">
        <f t="shared" si="8"/>
        <v>65.767249819648612</v>
      </c>
      <c r="S6" s="29">
        <f t="shared" si="9"/>
        <v>4.905408862698196</v>
      </c>
      <c r="T6" s="28">
        <f t="shared" si="10"/>
        <v>52.769515411249422</v>
      </c>
      <c r="U6" s="29">
        <f t="shared" si="11"/>
        <v>4.8545009579159357</v>
      </c>
      <c r="V6" s="10">
        <f>'Buffer Trapping Line'!V4*(1-EXP(-'Buffer Trapping Line'!W4*15.24))</f>
        <v>3.9473494674330158</v>
      </c>
      <c r="W6" s="10">
        <f>'Buffer Trapping Line'!S4*(1-EXP(-'Buffer Trapping Line'!T4*15.24))</f>
        <v>3.9473494674330158</v>
      </c>
      <c r="X6" s="13">
        <f t="shared" si="14"/>
        <v>1.1597525700529587</v>
      </c>
      <c r="Y6" s="13">
        <f t="shared" si="15"/>
        <v>9.8983702653247185E-2</v>
      </c>
      <c r="Z6" s="13">
        <f t="shared" si="16"/>
        <v>0.94908473892562029</v>
      </c>
      <c r="AA6" s="13">
        <f t="shared" si="17"/>
        <v>7.0789773064015904E-2</v>
      </c>
      <c r="AB6" s="13">
        <f t="shared" si="18"/>
        <v>0.76151491653759962</v>
      </c>
      <c r="AC6" s="13">
        <f t="shared" si="19"/>
        <v>7.0055122981306894E-2</v>
      </c>
      <c r="AD6" s="10">
        <f t="shared" si="20"/>
        <v>3.3026781901708091</v>
      </c>
      <c r="AE6" s="10">
        <f t="shared" si="21"/>
        <v>0.28188022546939173</v>
      </c>
      <c r="AF6" s="10">
        <f t="shared" si="22"/>
        <v>2.7027501803513871</v>
      </c>
      <c r="AG6" s="10">
        <f t="shared" si="23"/>
        <v>0.20159113730180422</v>
      </c>
      <c r="AH6" s="10">
        <f t="shared" si="24"/>
        <v>2.1685993816971134</v>
      </c>
      <c r="AI6" s="10">
        <f t="shared" si="25"/>
        <v>0.19949904208406455</v>
      </c>
      <c r="AJ6" s="53"/>
      <c r="AK6" s="53"/>
      <c r="AL6" s="6">
        <f t="shared" si="26"/>
        <v>1.3861322315256637</v>
      </c>
      <c r="AM6" s="6">
        <f t="shared" si="27"/>
        <v>2.5612172359073524</v>
      </c>
      <c r="AN6" s="6">
        <f t="shared" si="28"/>
        <v>3.9473494674330158</v>
      </c>
      <c r="AO6" s="6">
        <f t="shared" si="29"/>
        <v>1.3861322315256637</v>
      </c>
      <c r="AP6" s="6">
        <f t="shared" si="30"/>
        <v>2.5612172359073524</v>
      </c>
      <c r="AQ6" s="6">
        <f t="shared" si="31"/>
        <v>3.9473494674330158</v>
      </c>
      <c r="AR6" s="40">
        <f t="shared" si="32"/>
        <v>18.164894527262309</v>
      </c>
      <c r="AS6">
        <f t="shared" si="33"/>
        <v>19.763232374840754</v>
      </c>
      <c r="AT6">
        <f t="shared" si="34"/>
        <v>34.338156586035481</v>
      </c>
      <c r="AU6">
        <f t="shared" si="35"/>
        <v>28.483405685478225</v>
      </c>
      <c r="AV6">
        <f t="shared" si="36"/>
        <v>1.037791266888588</v>
      </c>
      <c r="AW6">
        <f t="shared" si="37"/>
        <v>29.225598655650465</v>
      </c>
    </row>
    <row r="7" spans="1:49" x14ac:dyDescent="0.25">
      <c r="A7" s="1" t="s">
        <v>21</v>
      </c>
      <c r="B7" s="34">
        <f>D7*C_factor!E5</f>
        <v>4.3049020286303765</v>
      </c>
      <c r="C7" s="35">
        <f>'P Index Results'!B6/10</f>
        <v>0.98599999999999999</v>
      </c>
      <c r="D7" s="38">
        <v>4.05</v>
      </c>
      <c r="E7" s="35">
        <f>'P Index Results'!C6/10</f>
        <v>0.58399999999999996</v>
      </c>
      <c r="F7" s="34">
        <f>D7*C_factor!F5</f>
        <v>2.8020044995700402</v>
      </c>
      <c r="G7" s="35">
        <f>'P Index Results'!D6/10</f>
        <v>0.57699999999999996</v>
      </c>
      <c r="H7" s="22">
        <f t="shared" si="0"/>
        <v>2.5209534567938676</v>
      </c>
      <c r="I7" s="23">
        <f t="shared" si="1"/>
        <v>0.77252798322207428</v>
      </c>
      <c r="J7" s="22">
        <f t="shared" si="2"/>
        <v>2.3716826613272488</v>
      </c>
      <c r="K7" s="23">
        <f t="shared" si="3"/>
        <v>0.45756221318629953</v>
      </c>
      <c r="L7" s="22">
        <f t="shared" si="4"/>
        <v>1.6408556761953579</v>
      </c>
      <c r="M7" s="23">
        <f t="shared" si="5"/>
        <v>0.45207773460358708</v>
      </c>
      <c r="N7" s="13">
        <f>'Buffer Trapping Line'!V5*(1-EXP(-'Buffer Trapping Line'!W5*5.03))</f>
        <v>41.439934288216072</v>
      </c>
      <c r="O7" s="13">
        <f>'Buffer Trapping Line'!S5*(1-EXP(-'Buffer Trapping Line'!T5*5.03))</f>
        <v>21.650305961250073</v>
      </c>
      <c r="P7" s="28">
        <f t="shared" si="6"/>
        <v>0.89548832609130502</v>
      </c>
      <c r="Q7" s="29">
        <f t="shared" si="7"/>
        <v>0.47644600972295453</v>
      </c>
      <c r="R7" s="28">
        <f t="shared" si="8"/>
        <v>0.84246463602416632</v>
      </c>
      <c r="S7" s="29">
        <f t="shared" si="9"/>
        <v>0.28219520251339297</v>
      </c>
      <c r="T7" s="28">
        <f t="shared" si="10"/>
        <v>0.58286165453539507</v>
      </c>
      <c r="U7" s="29">
        <f t="shared" si="11"/>
        <v>0.27881272577093791</v>
      </c>
      <c r="V7" s="10">
        <f>'Buffer Trapping Line'!V5*(1-EXP(-'Buffer Trapping Line'!W5*15.24))</f>
        <v>79.198404048786017</v>
      </c>
      <c r="W7" s="10">
        <f>'Buffer Trapping Line'!S5*(1-EXP(-'Buffer Trapping Line'!T5*15.24))</f>
        <v>51.678903679213533</v>
      </c>
      <c r="X7" s="13">
        <f t="shared" si="14"/>
        <v>1.7839485718365089</v>
      </c>
      <c r="Y7" s="13">
        <f t="shared" si="15"/>
        <v>0.21347201677792571</v>
      </c>
      <c r="Z7" s="13">
        <f t="shared" si="16"/>
        <v>1.678317338672751</v>
      </c>
      <c r="AA7" s="13">
        <f t="shared" si="17"/>
        <v>0.12643778681370044</v>
      </c>
      <c r="AB7" s="13">
        <f t="shared" si="18"/>
        <v>1.1611488233746823</v>
      </c>
      <c r="AC7" s="13">
        <f t="shared" si="19"/>
        <v>0.12492226539641288</v>
      </c>
      <c r="AD7" s="10">
        <f t="shared" si="20"/>
        <v>3.4094137025390716</v>
      </c>
      <c r="AE7" s="10">
        <f t="shared" si="21"/>
        <v>0.5095539902770454</v>
      </c>
      <c r="AF7" s="10">
        <f t="shared" si="22"/>
        <v>3.2075353639758335</v>
      </c>
      <c r="AG7" s="10">
        <f t="shared" si="23"/>
        <v>0.30180479748660699</v>
      </c>
      <c r="AH7" s="10">
        <f t="shared" si="24"/>
        <v>2.2191428450346451</v>
      </c>
      <c r="AI7" s="10">
        <f t="shared" si="25"/>
        <v>0.29818727422906205</v>
      </c>
      <c r="AJ7" s="53"/>
      <c r="AK7" s="53"/>
      <c r="AL7" s="6">
        <f t="shared" si="26"/>
        <v>41.439934288216072</v>
      </c>
      <c r="AM7" s="6">
        <f t="shared" si="27"/>
        <v>37.758469760569945</v>
      </c>
      <c r="AN7" s="6">
        <f t="shared" si="28"/>
        <v>79.198404048786017</v>
      </c>
      <c r="AO7" s="6">
        <f t="shared" si="29"/>
        <v>21.650305961250073</v>
      </c>
      <c r="AP7" s="6">
        <f t="shared" si="30"/>
        <v>30.028597717963461</v>
      </c>
      <c r="AQ7" s="6">
        <f t="shared" si="31"/>
        <v>51.678903679213533</v>
      </c>
      <c r="AR7" s="40">
        <f t="shared" si="32"/>
        <v>5.9212039422758878</v>
      </c>
      <c r="AS7">
        <f t="shared" si="33"/>
        <v>30.81470371431999</v>
      </c>
      <c r="AT7">
        <f t="shared" si="34"/>
        <v>34.911306205462935</v>
      </c>
      <c r="AU7">
        <f t="shared" si="35"/>
        <v>40.770791075050717</v>
      </c>
      <c r="AV7">
        <f t="shared" si="36"/>
        <v>1.1986301369863006</v>
      </c>
      <c r="AW7">
        <f t="shared" si="37"/>
        <v>41.480730223123743</v>
      </c>
    </row>
    <row r="8" spans="1:49" x14ac:dyDescent="0.25">
      <c r="A8" s="1" t="s">
        <v>22</v>
      </c>
      <c r="B8" s="34">
        <f>D8*C_factor!E6</f>
        <v>9.3816830140840519</v>
      </c>
      <c r="C8" s="35">
        <f>'P Index Results'!B7/10</f>
        <v>1.0009999999999999</v>
      </c>
      <c r="D8" s="38">
        <v>7.03</v>
      </c>
      <c r="E8" s="35">
        <f>'P Index Results'!C7/10</f>
        <v>0.61599999999999999</v>
      </c>
      <c r="F8" s="34">
        <f>D8*C_factor!F6</f>
        <v>5.1079674848032308</v>
      </c>
      <c r="G8" s="35">
        <f>'P Index Results'!D7/10</f>
        <v>0.6</v>
      </c>
      <c r="H8" s="22">
        <f t="shared" si="0"/>
        <v>8.3284196062933677</v>
      </c>
      <c r="I8" s="23">
        <f t="shared" si="1"/>
        <v>0.93125532688519341</v>
      </c>
      <c r="J8" s="22">
        <f t="shared" si="2"/>
        <v>6.2407554960391707</v>
      </c>
      <c r="K8" s="23">
        <f t="shared" si="3"/>
        <v>0.57308020116011915</v>
      </c>
      <c r="L8" s="22">
        <f t="shared" si="4"/>
        <v>4.534505854107417</v>
      </c>
      <c r="M8" s="23">
        <f t="shared" si="5"/>
        <v>0.5581950011299861</v>
      </c>
      <c r="N8" s="13">
        <f>'Buffer Trapping Line'!V6*(1-EXP(-'Buffer Trapping Line'!W6*5.03))</f>
        <v>11.226806599727302</v>
      </c>
      <c r="O8" s="13">
        <f>'Buffer Trapping Line'!S6*(1-EXP(-'Buffer Trapping Line'!T6*5.03))</f>
        <v>6.9674998116689739</v>
      </c>
      <c r="P8" s="28">
        <f t="shared" si="6"/>
        <v>6.5576833454048433</v>
      </c>
      <c r="Q8" s="29">
        <f t="shared" si="7"/>
        <v>0.82335056097493731</v>
      </c>
      <c r="R8" s="28">
        <f t="shared" si="8"/>
        <v>4.9138852644017748</v>
      </c>
      <c r="S8" s="29">
        <f t="shared" si="9"/>
        <v>0.50667726829226911</v>
      </c>
      <c r="T8" s="28">
        <f t="shared" si="10"/>
        <v>3.5704077033596002</v>
      </c>
      <c r="U8" s="29">
        <f t="shared" si="11"/>
        <v>0.49351681976519723</v>
      </c>
      <c r="V8" s="10">
        <f>'Buffer Trapping Line'!V6*(1-EXP(-'Buffer Trapping Line'!W6*15.24))</f>
        <v>30.101205342791257</v>
      </c>
      <c r="W8" s="10">
        <f>'Buffer Trapping Line'!S6*(1-EXP(-'Buffer Trapping Line'!T6*15.24))</f>
        <v>17.747196705800455</v>
      </c>
      <c r="X8" s="13">
        <f t="shared" si="14"/>
        <v>1.0532634077906842</v>
      </c>
      <c r="Y8" s="13">
        <f t="shared" si="15"/>
        <v>6.9744673114806477E-2</v>
      </c>
      <c r="Z8" s="13">
        <f t="shared" si="16"/>
        <v>0.78924450396082957</v>
      </c>
      <c r="AA8" s="13">
        <f t="shared" si="17"/>
        <v>4.2919798839880841E-2</v>
      </c>
      <c r="AB8" s="13">
        <f t="shared" si="18"/>
        <v>0.5734616306958138</v>
      </c>
      <c r="AC8" s="13">
        <f t="shared" si="19"/>
        <v>4.1804998870013876E-2</v>
      </c>
      <c r="AD8" s="10">
        <f t="shared" si="20"/>
        <v>2.8239996686792086</v>
      </c>
      <c r="AE8" s="10">
        <f t="shared" si="21"/>
        <v>0.17764943902506258</v>
      </c>
      <c r="AF8" s="10">
        <f t="shared" si="22"/>
        <v>2.1161147355982255</v>
      </c>
      <c r="AG8" s="10">
        <f t="shared" si="23"/>
        <v>0.10932273170773088</v>
      </c>
      <c r="AH8" s="10">
        <f t="shared" si="24"/>
        <v>1.5375597814436306</v>
      </c>
      <c r="AI8" s="10">
        <f t="shared" si="25"/>
        <v>0.10648318023480274</v>
      </c>
      <c r="AJ8" s="53"/>
      <c r="AK8" s="53"/>
      <c r="AL8" s="6">
        <f t="shared" si="26"/>
        <v>11.226806599727302</v>
      </c>
      <c r="AM8" s="6">
        <f t="shared" si="27"/>
        <v>18.874398743063956</v>
      </c>
      <c r="AN8" s="6">
        <f t="shared" si="28"/>
        <v>30.101205342791257</v>
      </c>
      <c r="AO8" s="6">
        <f t="shared" si="29"/>
        <v>6.9674998116689739</v>
      </c>
      <c r="AP8" s="6">
        <f t="shared" si="30"/>
        <v>10.779696894131481</v>
      </c>
      <c r="AQ8" s="6">
        <f t="shared" si="31"/>
        <v>17.747196705800455</v>
      </c>
      <c r="AR8" s="40">
        <f t="shared" si="32"/>
        <v>25.066749863043103</v>
      </c>
      <c r="AS8">
        <f t="shared" si="33"/>
        <v>27.340434071077802</v>
      </c>
      <c r="AT8">
        <f t="shared" si="34"/>
        <v>45.553825714053616</v>
      </c>
      <c r="AU8">
        <f t="shared" si="35"/>
        <v>38.46153846153846</v>
      </c>
      <c r="AV8">
        <f t="shared" si="36"/>
        <v>2.5974025974025983</v>
      </c>
      <c r="AW8">
        <f t="shared" si="37"/>
        <v>40.059940059940061</v>
      </c>
    </row>
    <row r="9" spans="1:49" x14ac:dyDescent="0.25">
      <c r="A9" s="1" t="s">
        <v>23</v>
      </c>
      <c r="B9" s="34">
        <f>D9*C_factor!E7</f>
        <v>2.5805381408189083</v>
      </c>
      <c r="C9" s="35">
        <f>'P Index Results'!B8/10</f>
        <v>1.107</v>
      </c>
      <c r="D9" s="38">
        <v>2.4300000000000002</v>
      </c>
      <c r="E9" s="35">
        <f>'P Index Results'!C8/10</f>
        <v>0.54299999999999993</v>
      </c>
      <c r="F9" s="34">
        <f>D9*C_factor!F7</f>
        <v>1.5948022294521682</v>
      </c>
      <c r="G9" s="35">
        <f>'P Index Results'!D8/10</f>
        <v>0.48299999999999998</v>
      </c>
      <c r="H9" s="22">
        <f t="shared" si="0"/>
        <v>0</v>
      </c>
      <c r="I9" s="23">
        <f t="shared" si="1"/>
        <v>0.2552568977068333</v>
      </c>
      <c r="J9" s="22">
        <f t="shared" si="2"/>
        <v>0</v>
      </c>
      <c r="K9" s="23">
        <f t="shared" si="3"/>
        <v>0.12520731296730844</v>
      </c>
      <c r="L9" s="22">
        <f t="shared" si="4"/>
        <v>0</v>
      </c>
      <c r="M9" s="23">
        <f t="shared" si="5"/>
        <v>0.11137225076097604</v>
      </c>
      <c r="N9" s="13">
        <f>'Buffer Trapping Line'!V7*(1-EXP(-'Buffer Trapping Line'!W7*5.03))</f>
        <v>100</v>
      </c>
      <c r="O9" s="13">
        <f>'Buffer Trapping Line'!S7*(1-EXP(-'Buffer Trapping Line'!T7*5.03))</f>
        <v>76.941562989445956</v>
      </c>
      <c r="P9" s="28">
        <f t="shared" si="6"/>
        <v>0</v>
      </c>
      <c r="Q9" s="29">
        <f t="shared" si="7"/>
        <v>4.2228517544311693E-2</v>
      </c>
      <c r="R9" s="28">
        <f t="shared" si="8"/>
        <v>0</v>
      </c>
      <c r="S9" s="29">
        <f t="shared" si="9"/>
        <v>2.0713717277833107E-2</v>
      </c>
      <c r="T9" s="28">
        <f t="shared" si="10"/>
        <v>0</v>
      </c>
      <c r="U9" s="29">
        <f t="shared" si="11"/>
        <v>1.8424908738846023E-2</v>
      </c>
      <c r="V9" s="10">
        <f>'Buffer Trapping Line'!V7*(1-EXP(-'Buffer Trapping Line'!W7*15.24))</f>
        <v>100</v>
      </c>
      <c r="W9" s="10">
        <f>'Buffer Trapping Line'!S7*(1-EXP(-'Buffer Trapping Line'!T7*15.24))</f>
        <v>96.185319101688194</v>
      </c>
      <c r="X9" s="13">
        <f t="shared" si="14"/>
        <v>2.5805381408189083</v>
      </c>
      <c r="Y9" s="13">
        <f t="shared" si="15"/>
        <v>0.85174310229316674</v>
      </c>
      <c r="Z9" s="13">
        <f t="shared" si="16"/>
        <v>2.4300000000000002</v>
      </c>
      <c r="AA9" s="13">
        <f t="shared" si="17"/>
        <v>0.41779268703269146</v>
      </c>
      <c r="AB9" s="13">
        <f t="shared" si="18"/>
        <v>1.5948022294521682</v>
      </c>
      <c r="AC9" s="13">
        <f t="shared" si="19"/>
        <v>0.37162774923902397</v>
      </c>
      <c r="AD9" s="10">
        <f t="shared" si="20"/>
        <v>2.5805381408189083</v>
      </c>
      <c r="AE9" s="10">
        <f t="shared" si="21"/>
        <v>1.0647714824556882</v>
      </c>
      <c r="AF9" s="10">
        <f t="shared" si="22"/>
        <v>2.4300000000000002</v>
      </c>
      <c r="AG9" s="10">
        <f t="shared" si="23"/>
        <v>0.52228628272216682</v>
      </c>
      <c r="AH9" s="10">
        <f t="shared" si="24"/>
        <v>1.5948022294521682</v>
      </c>
      <c r="AI9" s="10">
        <f t="shared" si="25"/>
        <v>0.46457509126115398</v>
      </c>
      <c r="AJ9" s="53"/>
      <c r="AK9" s="53"/>
      <c r="AL9" s="6">
        <f t="shared" si="26"/>
        <v>100</v>
      </c>
      <c r="AM9" s="6">
        <f t="shared" si="27"/>
        <v>0</v>
      </c>
      <c r="AN9" s="6">
        <f t="shared" si="28"/>
        <v>100</v>
      </c>
      <c r="AO9" s="6">
        <f t="shared" si="29"/>
        <v>76.941562989445956</v>
      </c>
      <c r="AP9" s="6">
        <f t="shared" si="30"/>
        <v>19.243756112242238</v>
      </c>
      <c r="AQ9" s="6">
        <f t="shared" si="31"/>
        <v>96.185319101688194</v>
      </c>
      <c r="AR9" s="40">
        <f t="shared" si="32"/>
        <v>5.8335948784363438</v>
      </c>
      <c r="AS9">
        <f t="shared" si="33"/>
        <v>34.370278623367568</v>
      </c>
      <c r="AT9">
        <f t="shared" si="34"/>
        <v>38.198850688326836</v>
      </c>
      <c r="AU9">
        <f t="shared" si="35"/>
        <v>50.94850948509486</v>
      </c>
      <c r="AV9">
        <f t="shared" si="36"/>
        <v>11.049723756906072</v>
      </c>
      <c r="AW9">
        <f t="shared" si="37"/>
        <v>56.36856368563685</v>
      </c>
    </row>
    <row r="10" spans="1:49" x14ac:dyDescent="0.25">
      <c r="A10" s="1" t="s">
        <v>88</v>
      </c>
      <c r="B10" s="34">
        <f>D10*C_factor!E8</f>
        <v>5.4453685107067944</v>
      </c>
      <c r="C10" s="35">
        <f>'P Index Results'!B9/10</f>
        <v>0.69400000000000006</v>
      </c>
      <c r="D10" s="38">
        <v>4.21</v>
      </c>
      <c r="E10" s="35">
        <f>'P Index Results'!C9/10</f>
        <v>0.39600000000000002</v>
      </c>
      <c r="F10" s="34">
        <f>D10*C_factor!F8</f>
        <v>2.9470439499504772</v>
      </c>
      <c r="G10" s="35">
        <f>'P Index Results'!D9/10</f>
        <v>0.38500000000000001</v>
      </c>
      <c r="H10" s="22">
        <f t="shared" si="0"/>
        <v>4.2664295674212074</v>
      </c>
      <c r="I10" s="23">
        <f t="shared" si="1"/>
        <v>0.61608596219789258</v>
      </c>
      <c r="J10" s="22">
        <f t="shared" si="2"/>
        <v>3.298522119031372</v>
      </c>
      <c r="K10" s="23">
        <f t="shared" si="3"/>
        <v>0.35154184586507992</v>
      </c>
      <c r="L10" s="22">
        <f t="shared" si="4"/>
        <v>2.3089999179736895</v>
      </c>
      <c r="M10" s="23">
        <f t="shared" si="5"/>
        <v>0.34177679459104987</v>
      </c>
      <c r="N10" s="13">
        <f>'Buffer Trapping Line'!V8*(1-EXP(-'Buffer Trapping Line'!W8*5.03))</f>
        <v>21.650305961250073</v>
      </c>
      <c r="O10" s="13">
        <f>'Buffer Trapping Line'!S8*(1-EXP(-'Buffer Trapping Line'!T8*5.03))</f>
        <v>11.226806599727302</v>
      </c>
      <c r="P10" s="28">
        <f t="shared" si="6"/>
        <v>2.6312617630804058</v>
      </c>
      <c r="Q10" s="29">
        <f t="shared" si="7"/>
        <v>0.4850976349210287</v>
      </c>
      <c r="R10" s="28">
        <f t="shared" si="8"/>
        <v>2.0343181551051104</v>
      </c>
      <c r="S10" s="29">
        <f t="shared" si="9"/>
        <v>0.2767992268425466</v>
      </c>
      <c r="T10" s="28">
        <f t="shared" si="10"/>
        <v>1.4240439456714802</v>
      </c>
      <c r="U10" s="29">
        <f t="shared" si="11"/>
        <v>0.26911035943025363</v>
      </c>
      <c r="V10" s="10">
        <f>'Buffer Trapping Line'!V8*(1-EXP(-'Buffer Trapping Line'!W8*15.24))</f>
        <v>51.678903679213533</v>
      </c>
      <c r="W10" s="10">
        <f>'Buffer Trapping Line'!S8*(1-EXP(-'Buffer Trapping Line'!T8*15.24))</f>
        <v>30.101205342791257</v>
      </c>
      <c r="X10" s="13">
        <f t="shared" si="14"/>
        <v>1.178938943285587</v>
      </c>
      <c r="Y10" s="13">
        <f t="shared" si="15"/>
        <v>7.7914037802107483E-2</v>
      </c>
      <c r="Z10" s="13">
        <f t="shared" si="16"/>
        <v>0.91147788096862792</v>
      </c>
      <c r="AA10" s="13">
        <f t="shared" si="17"/>
        <v>4.4458154134920103E-2</v>
      </c>
      <c r="AB10" s="13">
        <f t="shared" si="18"/>
        <v>0.63804403197678772</v>
      </c>
      <c r="AC10" s="13">
        <f t="shared" si="19"/>
        <v>4.3223205408950138E-2</v>
      </c>
      <c r="AD10" s="10">
        <f t="shared" si="20"/>
        <v>2.8141067476263886</v>
      </c>
      <c r="AE10" s="10">
        <f t="shared" si="21"/>
        <v>0.20890236507897136</v>
      </c>
      <c r="AF10" s="10">
        <f t="shared" si="22"/>
        <v>2.1756818448948896</v>
      </c>
      <c r="AG10" s="10">
        <f t="shared" si="23"/>
        <v>0.11920077315745342</v>
      </c>
      <c r="AH10" s="10">
        <f t="shared" si="24"/>
        <v>1.5230000042789971</v>
      </c>
      <c r="AI10" s="10">
        <f t="shared" si="25"/>
        <v>0.11588964056974638</v>
      </c>
      <c r="AJ10" s="53"/>
      <c r="AK10" s="53"/>
      <c r="AL10" s="6">
        <f t="shared" si="26"/>
        <v>21.650305961250073</v>
      </c>
      <c r="AM10" s="6">
        <f t="shared" si="27"/>
        <v>30.028597717963461</v>
      </c>
      <c r="AN10" s="6">
        <f t="shared" si="28"/>
        <v>51.678903679213533</v>
      </c>
      <c r="AO10" s="6">
        <f t="shared" si="29"/>
        <v>11.226806599727302</v>
      </c>
      <c r="AP10" s="6">
        <f t="shared" si="30"/>
        <v>18.874398743063956</v>
      </c>
      <c r="AQ10" s="6">
        <f t="shared" si="31"/>
        <v>30.101205342791257</v>
      </c>
      <c r="AR10" s="40">
        <f t="shared" si="32"/>
        <v>22.686591518604992</v>
      </c>
      <c r="AS10">
        <f t="shared" si="33"/>
        <v>29.998956058183435</v>
      </c>
      <c r="AT10">
        <f t="shared" si="34"/>
        <v>45.879806956022549</v>
      </c>
      <c r="AU10">
        <f t="shared" si="35"/>
        <v>42.939481268011527</v>
      </c>
      <c r="AV10">
        <f t="shared" si="36"/>
        <v>2.777777777777779</v>
      </c>
      <c r="AW10">
        <f t="shared" si="37"/>
        <v>44.524495677233432</v>
      </c>
    </row>
    <row r="11" spans="1:49" x14ac:dyDescent="0.25">
      <c r="A11" s="1" t="s">
        <v>89</v>
      </c>
      <c r="B11" s="34">
        <f>D11*C_factor!E9</f>
        <v>5.8829573079627666</v>
      </c>
      <c r="C11" s="35">
        <f>'P Index Results'!B10/10</f>
        <v>0.89700000000000002</v>
      </c>
      <c r="D11" s="38">
        <v>5.01</v>
      </c>
      <c r="E11" s="35">
        <f>'P Index Results'!C10/10</f>
        <v>0.51400000000000001</v>
      </c>
      <c r="F11" s="34">
        <f>D11*C_factor!F9</f>
        <v>3.3771206563155802</v>
      </c>
      <c r="G11" s="35">
        <f>'P Index Results'!D10/10</f>
        <v>0.503</v>
      </c>
      <c r="H11" s="22">
        <f t="shared" si="0"/>
        <v>4.6092790512191071</v>
      </c>
      <c r="I11" s="23">
        <f t="shared" si="1"/>
        <v>0.79629554480044618</v>
      </c>
      <c r="J11" s="22">
        <f t="shared" si="2"/>
        <v>3.9253196713413714</v>
      </c>
      <c r="K11" s="23">
        <f t="shared" si="3"/>
        <v>0.45629421407740167</v>
      </c>
      <c r="L11" s="22">
        <f t="shared" si="4"/>
        <v>2.6459637015426805</v>
      </c>
      <c r="M11" s="23">
        <f t="shared" si="5"/>
        <v>0.44652916280337168</v>
      </c>
      <c r="N11" s="13">
        <f>'Buffer Trapping Line'!V9*(1-EXP(-'Buffer Trapping Line'!W9*5.03))</f>
        <v>21.650305961250073</v>
      </c>
      <c r="O11" s="13">
        <f>'Buffer Trapping Line'!S9*(1-EXP(-'Buffer Trapping Line'!T9*5.03))</f>
        <v>11.226806599727302</v>
      </c>
      <c r="P11" s="28">
        <f t="shared" si="6"/>
        <v>2.842709467291435</v>
      </c>
      <c r="Q11" s="29">
        <f t="shared" si="7"/>
        <v>0.62699218807516244</v>
      </c>
      <c r="R11" s="28">
        <f t="shared" si="8"/>
        <v>2.4208869256714021</v>
      </c>
      <c r="S11" s="29">
        <f t="shared" si="9"/>
        <v>0.35927980453805292</v>
      </c>
      <c r="T11" s="28">
        <f t="shared" si="10"/>
        <v>1.6318617252074277</v>
      </c>
      <c r="U11" s="29">
        <f t="shared" si="11"/>
        <v>0.35159093712575995</v>
      </c>
      <c r="V11" s="10">
        <f>'Buffer Trapping Line'!V9*(1-EXP(-'Buffer Trapping Line'!W9*15.24))</f>
        <v>51.678903679213533</v>
      </c>
      <c r="W11" s="10">
        <f>'Buffer Trapping Line'!S9*(1-EXP(-'Buffer Trapping Line'!T9*15.24))</f>
        <v>30.101205342791257</v>
      </c>
      <c r="X11" s="13">
        <f t="shared" si="14"/>
        <v>1.2736782567436595</v>
      </c>
      <c r="Y11" s="13">
        <f t="shared" si="15"/>
        <v>0.10070445519955384</v>
      </c>
      <c r="Z11" s="13">
        <f t="shared" si="16"/>
        <v>1.0846803286586284</v>
      </c>
      <c r="AA11" s="13">
        <f t="shared" si="17"/>
        <v>5.770578592259834E-2</v>
      </c>
      <c r="AB11" s="13">
        <f t="shared" si="18"/>
        <v>0.73115695477289977</v>
      </c>
      <c r="AC11" s="13">
        <f t="shared" si="19"/>
        <v>5.6470837196628321E-2</v>
      </c>
      <c r="AD11" s="10">
        <f t="shared" si="20"/>
        <v>3.0402478406713316</v>
      </c>
      <c r="AE11" s="10">
        <f t="shared" si="21"/>
        <v>0.27000781192483758</v>
      </c>
      <c r="AF11" s="10">
        <f t="shared" si="22"/>
        <v>2.5891130743285977</v>
      </c>
      <c r="AG11" s="10">
        <f t="shared" si="23"/>
        <v>0.1547201954619471</v>
      </c>
      <c r="AH11" s="10">
        <f t="shared" si="24"/>
        <v>1.7452589311081526</v>
      </c>
      <c r="AI11" s="10">
        <f t="shared" si="25"/>
        <v>0.15140906287424005</v>
      </c>
      <c r="AJ11" s="53"/>
      <c r="AK11" s="53"/>
      <c r="AL11" s="6">
        <f t="shared" si="26"/>
        <v>21.650305961250073</v>
      </c>
      <c r="AM11" s="6">
        <f t="shared" si="27"/>
        <v>30.028597717963461</v>
      </c>
      <c r="AN11" s="6">
        <f t="shared" si="28"/>
        <v>51.678903679213533</v>
      </c>
      <c r="AO11" s="6">
        <f t="shared" si="29"/>
        <v>11.226806599727302</v>
      </c>
      <c r="AP11" s="6">
        <f t="shared" si="30"/>
        <v>18.874398743063956</v>
      </c>
      <c r="AQ11" s="6">
        <f t="shared" si="31"/>
        <v>30.101205342791257</v>
      </c>
      <c r="AR11" s="40">
        <f t="shared" si="32"/>
        <v>14.838749667300688</v>
      </c>
      <c r="AS11">
        <f t="shared" si="33"/>
        <v>32.592402069549294</v>
      </c>
      <c r="AT11">
        <f t="shared" si="34"/>
        <v>42.594846783189432</v>
      </c>
      <c r="AU11">
        <f t="shared" si="35"/>
        <v>42.697881828316611</v>
      </c>
      <c r="AV11">
        <f t="shared" si="36"/>
        <v>2.1400778210116767</v>
      </c>
      <c r="AW11">
        <f t="shared" si="37"/>
        <v>43.924191750278709</v>
      </c>
    </row>
    <row r="12" spans="1:49" x14ac:dyDescent="0.25">
      <c r="A12" s="1" t="s">
        <v>26</v>
      </c>
      <c r="B12" s="34">
        <f>D12*C_factor!E10</f>
        <v>4.585961134098115</v>
      </c>
      <c r="C12" s="35">
        <f>'P Index Results'!B11/10</f>
        <v>0.84499999999999997</v>
      </c>
      <c r="D12" s="38">
        <v>4.3899999999999997</v>
      </c>
      <c r="E12" s="35">
        <f>'P Index Results'!C11/10</f>
        <v>0.47199999999999998</v>
      </c>
      <c r="F12" s="34">
        <f>D12*C_factor!F10</f>
        <v>3.643883915453396</v>
      </c>
      <c r="G12" s="35">
        <f>'P Index Results'!D11/10</f>
        <v>0.47699999999999998</v>
      </c>
      <c r="H12" s="22">
        <f t="shared" si="0"/>
        <v>4.0711041468342586</v>
      </c>
      <c r="I12" s="23">
        <f t="shared" si="1"/>
        <v>0.78612462659139715</v>
      </c>
      <c r="J12" s="22">
        <f t="shared" si="2"/>
        <v>3.8971431902719713</v>
      </c>
      <c r="K12" s="23">
        <f t="shared" si="3"/>
        <v>0.43911340088892242</v>
      </c>
      <c r="L12" s="22">
        <f t="shared" si="4"/>
        <v>3.2347921155468726</v>
      </c>
      <c r="M12" s="23">
        <f t="shared" si="5"/>
        <v>0.44376502589833899</v>
      </c>
      <c r="N12" s="13">
        <f>'Buffer Trapping Line'!V10*(1-EXP(-'Buffer Trapping Line'!W10*5.03))</f>
        <v>11.226806599727302</v>
      </c>
      <c r="O12" s="13">
        <f>'Buffer Trapping Line'!S10*(1-EXP(-'Buffer Trapping Line'!T10*5.03))</f>
        <v>6.9674998116689739</v>
      </c>
      <c r="P12" s="28">
        <f t="shared" si="6"/>
        <v>3.2055315561826427</v>
      </c>
      <c r="Q12" s="29">
        <f t="shared" si="7"/>
        <v>0.69503618783598609</v>
      </c>
      <c r="R12" s="28">
        <f t="shared" si="8"/>
        <v>3.0685570854514634</v>
      </c>
      <c r="S12" s="29">
        <f t="shared" si="9"/>
        <v>0.38823323154862183</v>
      </c>
      <c r="T12" s="28">
        <f t="shared" si="10"/>
        <v>2.5470309356098269</v>
      </c>
      <c r="U12" s="29">
        <f t="shared" si="11"/>
        <v>0.3923458717133318</v>
      </c>
      <c r="V12" s="10">
        <f>'Buffer Trapping Line'!V10*(1-EXP(-'Buffer Trapping Line'!W10*15.24))</f>
        <v>30.101205342791257</v>
      </c>
      <c r="W12" s="10">
        <f>'Buffer Trapping Line'!S10*(1-EXP(-'Buffer Trapping Line'!T10*15.24))</f>
        <v>17.747196705800455</v>
      </c>
      <c r="X12" s="13">
        <f t="shared" si="14"/>
        <v>0.51485698726385642</v>
      </c>
      <c r="Y12" s="13">
        <f t="shared" si="15"/>
        <v>5.8875373408602827E-2</v>
      </c>
      <c r="Z12" s="13">
        <f t="shared" si="16"/>
        <v>0.49285680972802837</v>
      </c>
      <c r="AA12" s="13">
        <f t="shared" si="17"/>
        <v>3.2886599111077552E-2</v>
      </c>
      <c r="AB12" s="13">
        <f t="shared" si="18"/>
        <v>0.40909179990652333</v>
      </c>
      <c r="AC12" s="13">
        <f t="shared" si="19"/>
        <v>3.3234974101660986E-2</v>
      </c>
      <c r="AD12" s="10">
        <f t="shared" si="20"/>
        <v>1.3804295779154723</v>
      </c>
      <c r="AE12" s="10">
        <f t="shared" si="21"/>
        <v>0.14996381216401389</v>
      </c>
      <c r="AF12" s="10">
        <f t="shared" si="22"/>
        <v>1.3214429145485362</v>
      </c>
      <c r="AG12" s="10">
        <f t="shared" si="23"/>
        <v>8.3766768451378149E-2</v>
      </c>
      <c r="AH12" s="10">
        <f t="shared" si="24"/>
        <v>1.0968529798435691</v>
      </c>
      <c r="AI12" s="10">
        <f t="shared" si="25"/>
        <v>8.4654128286668184E-2</v>
      </c>
      <c r="AJ12" s="53"/>
      <c r="AK12" s="53"/>
      <c r="AL12" s="6">
        <f t="shared" si="26"/>
        <v>11.226806599727302</v>
      </c>
      <c r="AM12" s="6">
        <f t="shared" si="27"/>
        <v>18.874398743063956</v>
      </c>
      <c r="AN12" s="6">
        <f t="shared" si="28"/>
        <v>30.101205342791257</v>
      </c>
      <c r="AO12" s="6">
        <f t="shared" si="29"/>
        <v>6.9674998116689739</v>
      </c>
      <c r="AP12" s="6">
        <f t="shared" si="30"/>
        <v>10.779696894131481</v>
      </c>
      <c r="AQ12" s="6">
        <f t="shared" si="31"/>
        <v>17.747196705800455</v>
      </c>
      <c r="AR12" s="40">
        <f t="shared" si="32"/>
        <v>4.2730657405942729</v>
      </c>
      <c r="AS12">
        <f t="shared" si="33"/>
        <v>16.995810581927195</v>
      </c>
      <c r="AT12">
        <f t="shared" si="34"/>
        <v>20.542634163208838</v>
      </c>
      <c r="AU12">
        <f t="shared" si="35"/>
        <v>44.142011834319526</v>
      </c>
      <c r="AV12">
        <f t="shared" si="36"/>
        <v>-1.0593220338983134</v>
      </c>
      <c r="AW12">
        <f t="shared" si="37"/>
        <v>43.550295857988161</v>
      </c>
    </row>
    <row r="13" spans="1:49" x14ac:dyDescent="0.25">
      <c r="A13" s="1" t="s">
        <v>27</v>
      </c>
      <c r="B13" s="34">
        <f>D13*C_factor!E11</f>
        <v>8.5021079033990983</v>
      </c>
      <c r="C13" s="35">
        <f>'P Index Results'!B12/10</f>
        <v>0.91700000000000004</v>
      </c>
      <c r="D13" s="38">
        <v>6.16</v>
      </c>
      <c r="E13" s="35">
        <f>'P Index Results'!C12/10</f>
        <v>0.54900000000000004</v>
      </c>
      <c r="F13" s="34">
        <f>D13*C_factor!F11</f>
        <v>4.5662405837813997</v>
      </c>
      <c r="G13" s="35">
        <f>'P Index Results'!D12/10</f>
        <v>0.53800000000000003</v>
      </c>
      <c r="H13" s="22">
        <f t="shared" si="0"/>
        <v>7.5475926921843515</v>
      </c>
      <c r="I13" s="23">
        <f t="shared" si="1"/>
        <v>0.85310802672699548</v>
      </c>
      <c r="J13" s="22">
        <f t="shared" si="2"/>
        <v>5.4684287134567979</v>
      </c>
      <c r="K13" s="23">
        <f t="shared" si="3"/>
        <v>0.51074842603393733</v>
      </c>
      <c r="L13" s="22">
        <f t="shared" si="4"/>
        <v>4.0535975845620031</v>
      </c>
      <c r="M13" s="23">
        <f t="shared" si="5"/>
        <v>0.50051485101322091</v>
      </c>
      <c r="N13" s="13">
        <f>'Buffer Trapping Line'!V11*(1-EXP(-'Buffer Trapping Line'!W11*5.03))</f>
        <v>11.226806599727302</v>
      </c>
      <c r="O13" s="13">
        <f>'Buffer Trapping Line'!S11*(1-EXP(-'Buffer Trapping Line'!T11*5.03))</f>
        <v>6.9674998116689739</v>
      </c>
      <c r="P13" s="28">
        <f t="shared" si="6"/>
        <v>5.9428709449312507</v>
      </c>
      <c r="Q13" s="29">
        <f t="shared" si="7"/>
        <v>0.75425820620780981</v>
      </c>
      <c r="R13" s="28">
        <f t="shared" si="8"/>
        <v>4.3057657508840581</v>
      </c>
      <c r="S13" s="29">
        <f t="shared" si="9"/>
        <v>0.45156789008515552</v>
      </c>
      <c r="T13" s="28">
        <f t="shared" si="10"/>
        <v>3.1917471292114903</v>
      </c>
      <c r="U13" s="29">
        <f t="shared" si="11"/>
        <v>0.44252008172279356</v>
      </c>
      <c r="V13" s="10">
        <f>'Buffer Trapping Line'!V11*(1-EXP(-'Buffer Trapping Line'!W11*15.24))</f>
        <v>30.101205342791257</v>
      </c>
      <c r="W13" s="10">
        <f>'Buffer Trapping Line'!S11*(1-EXP(-'Buffer Trapping Line'!T11*15.24))</f>
        <v>17.747196705800455</v>
      </c>
      <c r="X13" s="13">
        <f t="shared" si="14"/>
        <v>0.95451521121474681</v>
      </c>
      <c r="Y13" s="13">
        <f t="shared" si="15"/>
        <v>6.3891973273004554E-2</v>
      </c>
      <c r="Z13" s="13">
        <f t="shared" si="16"/>
        <v>0.69157128654320221</v>
      </c>
      <c r="AA13" s="13">
        <f t="shared" si="17"/>
        <v>3.8251573966062713E-2</v>
      </c>
      <c r="AB13" s="13">
        <f t="shared" si="18"/>
        <v>0.5126429992193966</v>
      </c>
      <c r="AC13" s="13">
        <f t="shared" si="19"/>
        <v>3.7485148986779127E-2</v>
      </c>
      <c r="AD13" s="10">
        <f t="shared" si="20"/>
        <v>2.5592369584678476</v>
      </c>
      <c r="AE13" s="10">
        <f t="shared" si="21"/>
        <v>0.16274179379219023</v>
      </c>
      <c r="AF13" s="10">
        <f t="shared" si="22"/>
        <v>1.854234249115942</v>
      </c>
      <c r="AG13" s="10">
        <f t="shared" si="23"/>
        <v>9.7432109914844522E-2</v>
      </c>
      <c r="AH13" s="10">
        <f t="shared" si="24"/>
        <v>1.3744934545699095</v>
      </c>
      <c r="AI13" s="10">
        <f t="shared" si="25"/>
        <v>9.5479918277206477E-2</v>
      </c>
      <c r="AJ13" s="53"/>
      <c r="AK13" s="53"/>
      <c r="AL13" s="6">
        <f t="shared" si="26"/>
        <v>11.226806599727302</v>
      </c>
      <c r="AM13" s="6">
        <f t="shared" si="27"/>
        <v>18.874398743063956</v>
      </c>
      <c r="AN13" s="6">
        <f t="shared" si="28"/>
        <v>30.101205342791257</v>
      </c>
      <c r="AO13" s="6">
        <f t="shared" si="29"/>
        <v>6.9674998116689739</v>
      </c>
      <c r="AP13" s="6">
        <f t="shared" si="30"/>
        <v>10.779696894131481</v>
      </c>
      <c r="AQ13" s="6">
        <f t="shared" si="31"/>
        <v>17.747196705800455</v>
      </c>
      <c r="AR13" s="40">
        <f t="shared" si="32"/>
        <v>27.547379191256038</v>
      </c>
      <c r="AS13">
        <f t="shared" si="33"/>
        <v>25.872717795756493</v>
      </c>
      <c r="AT13">
        <f t="shared" si="34"/>
        <v>46.292841308731916</v>
      </c>
      <c r="AU13">
        <f t="shared" si="35"/>
        <v>40.130861504907301</v>
      </c>
      <c r="AV13">
        <f t="shared" si="36"/>
        <v>2.0036429872495432</v>
      </c>
      <c r="AW13">
        <f t="shared" si="37"/>
        <v>41.330425299890948</v>
      </c>
    </row>
    <row r="14" spans="1:49" x14ac:dyDescent="0.25">
      <c r="A14" s="1" t="s">
        <v>28</v>
      </c>
      <c r="B14" s="34">
        <f>D14*C_factor!E12</f>
        <v>1.2347843910974303</v>
      </c>
      <c r="C14" s="35">
        <f>'P Index Results'!B13/10</f>
        <v>0.38200000000000001</v>
      </c>
      <c r="D14" s="38">
        <v>1.23</v>
      </c>
      <c r="E14" s="35">
        <f>'P Index Results'!C13/10</f>
        <v>0.16999999999999998</v>
      </c>
      <c r="F14" s="34">
        <f>D14*C_factor!F12</f>
        <v>1.1979283583795115</v>
      </c>
      <c r="G14" s="35">
        <f>'P Index Results'!D13/10</f>
        <v>0.185</v>
      </c>
      <c r="H14" s="22">
        <f t="shared" si="0"/>
        <v>0</v>
      </c>
      <c r="I14" s="23">
        <f t="shared" si="1"/>
        <v>8.8083229380316458E-2</v>
      </c>
      <c r="J14" s="22">
        <f t="shared" si="2"/>
        <v>0</v>
      </c>
      <c r="K14" s="23">
        <f t="shared" si="3"/>
        <v>3.9199342917941873E-2</v>
      </c>
      <c r="L14" s="22">
        <f t="shared" si="4"/>
        <v>0</v>
      </c>
      <c r="M14" s="23">
        <f t="shared" si="5"/>
        <v>4.2658108469524982E-2</v>
      </c>
      <c r="N14" s="13">
        <f>'Buffer Trapping Line'!V12*(1-EXP(-'Buffer Trapping Line'!W12*5.03))</f>
        <v>100</v>
      </c>
      <c r="O14" s="13">
        <f>'Buffer Trapping Line'!S12*(1-EXP(-'Buffer Trapping Line'!T12*5.03))</f>
        <v>76.941562989445956</v>
      </c>
      <c r="P14" s="28">
        <f t="shared" si="6"/>
        <v>0</v>
      </c>
      <c r="Q14" s="29">
        <f t="shared" si="7"/>
        <v>1.4572081031551101E-2</v>
      </c>
      <c r="R14" s="28">
        <f t="shared" si="8"/>
        <v>0</v>
      </c>
      <c r="S14" s="29">
        <f t="shared" si="9"/>
        <v>6.48495752713007E-3</v>
      </c>
      <c r="T14" s="28">
        <f t="shared" si="10"/>
        <v>0</v>
      </c>
      <c r="U14" s="29">
        <f t="shared" si="11"/>
        <v>7.0571596618768419E-3</v>
      </c>
      <c r="V14" s="10">
        <f>'Buffer Trapping Line'!V12*(1-EXP(-'Buffer Trapping Line'!W12*15.24))</f>
        <v>100</v>
      </c>
      <c r="W14" s="10">
        <f>'Buffer Trapping Line'!S12*(1-EXP(-'Buffer Trapping Line'!T12*15.24))</f>
        <v>96.185319101688194</v>
      </c>
      <c r="X14" s="13">
        <f t="shared" si="14"/>
        <v>1.2347843910974303</v>
      </c>
      <c r="Y14" s="13">
        <f t="shared" si="15"/>
        <v>0.29391677061968358</v>
      </c>
      <c r="Z14" s="13">
        <f t="shared" si="16"/>
        <v>1.23</v>
      </c>
      <c r="AA14" s="13">
        <f t="shared" si="17"/>
        <v>0.13080065708205812</v>
      </c>
      <c r="AB14" s="13">
        <f t="shared" si="18"/>
        <v>1.1979283583795115</v>
      </c>
      <c r="AC14" s="13">
        <f t="shared" si="19"/>
        <v>0.14234189153047502</v>
      </c>
      <c r="AD14" s="10">
        <f t="shared" si="20"/>
        <v>1.2347843910974303</v>
      </c>
      <c r="AE14" s="10">
        <f t="shared" si="21"/>
        <v>0.3674279189684489</v>
      </c>
      <c r="AF14" s="10">
        <f t="shared" si="22"/>
        <v>1.23</v>
      </c>
      <c r="AG14" s="10">
        <f t="shared" si="23"/>
        <v>0.16351504247286991</v>
      </c>
      <c r="AH14" s="10">
        <f t="shared" si="24"/>
        <v>1.1979283583795115</v>
      </c>
      <c r="AI14" s="10">
        <f t="shared" si="25"/>
        <v>0.17794284033812316</v>
      </c>
      <c r="AJ14" s="53"/>
      <c r="AK14" s="53"/>
      <c r="AL14" s="6">
        <f t="shared" si="26"/>
        <v>100</v>
      </c>
      <c r="AM14" s="6">
        <f t="shared" si="27"/>
        <v>0</v>
      </c>
      <c r="AN14" s="6">
        <f t="shared" si="28"/>
        <v>100</v>
      </c>
      <c r="AO14" s="6">
        <f t="shared" si="29"/>
        <v>76.941562989445956</v>
      </c>
      <c r="AP14" s="6">
        <f t="shared" si="30"/>
        <v>19.243756112242238</v>
      </c>
      <c r="AQ14" s="6">
        <f t="shared" si="31"/>
        <v>96.185319101688194</v>
      </c>
      <c r="AR14" s="40">
        <f t="shared" si="32"/>
        <v>0.38746773379424448</v>
      </c>
      <c r="AS14">
        <f t="shared" si="33"/>
        <v>2.6074505382510993</v>
      </c>
      <c r="AT14">
        <f t="shared" si="34"/>
        <v>2.9848152425349772</v>
      </c>
      <c r="AU14">
        <f t="shared" si="35"/>
        <v>55.497382198952884</v>
      </c>
      <c r="AV14">
        <f t="shared" si="36"/>
        <v>-8.8235294117647189</v>
      </c>
      <c r="AW14">
        <f t="shared" si="37"/>
        <v>51.570680628272257</v>
      </c>
    </row>
    <row r="15" spans="1:49" x14ac:dyDescent="0.25">
      <c r="A15" s="1" t="s">
        <v>29</v>
      </c>
      <c r="B15" s="34">
        <f>D15*C_factor!E13</f>
        <v>6.5577265078627072</v>
      </c>
      <c r="C15" s="35">
        <f>'P Index Results'!B14/10</f>
        <v>0.98299999999999998</v>
      </c>
      <c r="D15" s="38">
        <v>5.24</v>
      </c>
      <c r="E15" s="35">
        <f>'P Index Results'!C14/10</f>
        <v>0.52800000000000002</v>
      </c>
      <c r="F15" s="34">
        <f>D15*C_factor!F13</f>
        <v>3.5188055510556269</v>
      </c>
      <c r="G15" s="35">
        <f>'P Index Results'!D14/10</f>
        <v>0.496</v>
      </c>
      <c r="H15" s="22">
        <f t="shared" si="0"/>
        <v>5.1379586548084317</v>
      </c>
      <c r="I15" s="23">
        <f t="shared" si="1"/>
        <v>0.87264049112468056</v>
      </c>
      <c r="J15" s="22">
        <f t="shared" si="2"/>
        <v>4.1055239676304964</v>
      </c>
      <c r="K15" s="23">
        <f t="shared" si="3"/>
        <v>0.46872246115343985</v>
      </c>
      <c r="L15" s="22">
        <f t="shared" si="4"/>
        <v>2.756973383070632</v>
      </c>
      <c r="M15" s="23">
        <f t="shared" si="5"/>
        <v>0.44031503926535259</v>
      </c>
      <c r="N15" s="13">
        <f>'Buffer Trapping Line'!V13*(1-EXP(-'Buffer Trapping Line'!W13*5.03))</f>
        <v>21.650305961250073</v>
      </c>
      <c r="O15" s="13">
        <f>'Buffer Trapping Line'!S13*(1-EXP(-'Buffer Trapping Line'!T13*5.03))</f>
        <v>11.226806599727302</v>
      </c>
      <c r="P15" s="28">
        <f t="shared" si="6"/>
        <v>3.1687653423180855</v>
      </c>
      <c r="Q15" s="29">
        <f t="shared" si="7"/>
        <v>0.68710515148036189</v>
      </c>
      <c r="R15" s="28">
        <f t="shared" si="8"/>
        <v>2.532025447209211</v>
      </c>
      <c r="S15" s="29">
        <f t="shared" si="9"/>
        <v>0.36906563579006219</v>
      </c>
      <c r="T15" s="28">
        <f t="shared" si="10"/>
        <v>1.7003254196667705</v>
      </c>
      <c r="U15" s="29">
        <f t="shared" si="11"/>
        <v>0.34669802149975537</v>
      </c>
      <c r="V15" s="10">
        <f>'Buffer Trapping Line'!V13*(1-EXP(-'Buffer Trapping Line'!W13*15.24))</f>
        <v>51.678903679213533</v>
      </c>
      <c r="W15" s="10">
        <f>'Buffer Trapping Line'!S13*(1-EXP(-'Buffer Trapping Line'!T13*15.24))</f>
        <v>30.101205342791257</v>
      </c>
      <c r="X15" s="13">
        <f t="shared" si="14"/>
        <v>1.4197678530542754</v>
      </c>
      <c r="Y15" s="13">
        <f t="shared" si="15"/>
        <v>0.11035950887531942</v>
      </c>
      <c r="Z15" s="13">
        <f t="shared" si="16"/>
        <v>1.1344760323695038</v>
      </c>
      <c r="AA15" s="13">
        <f t="shared" si="17"/>
        <v>5.9277538846560174E-2</v>
      </c>
      <c r="AB15" s="13">
        <f t="shared" si="18"/>
        <v>0.76183216798499487</v>
      </c>
      <c r="AC15" s="13">
        <f t="shared" si="19"/>
        <v>5.5684960734647404E-2</v>
      </c>
      <c r="AD15" s="10">
        <f t="shared" si="20"/>
        <v>3.3889611655446217</v>
      </c>
      <c r="AE15" s="10">
        <f t="shared" si="21"/>
        <v>0.2958948485196381</v>
      </c>
      <c r="AF15" s="10">
        <f t="shared" si="22"/>
        <v>2.7079745527907892</v>
      </c>
      <c r="AG15" s="10">
        <f t="shared" si="23"/>
        <v>0.15893436420993784</v>
      </c>
      <c r="AH15" s="10">
        <f t="shared" si="24"/>
        <v>1.8184801313888563</v>
      </c>
      <c r="AI15" s="10">
        <f t="shared" si="25"/>
        <v>0.14930197850024463</v>
      </c>
      <c r="AJ15" s="53"/>
      <c r="AK15" s="53"/>
      <c r="AL15" s="6">
        <f t="shared" si="26"/>
        <v>21.650305961250073</v>
      </c>
      <c r="AM15" s="6">
        <f t="shared" si="27"/>
        <v>30.028597717963461</v>
      </c>
      <c r="AN15" s="6">
        <f t="shared" si="28"/>
        <v>51.678903679213533</v>
      </c>
      <c r="AO15" s="6">
        <f t="shared" si="29"/>
        <v>11.226806599727302</v>
      </c>
      <c r="AP15" s="6">
        <f t="shared" si="30"/>
        <v>18.874398743063956</v>
      </c>
      <c r="AQ15" s="6">
        <f t="shared" si="31"/>
        <v>30.101205342791257</v>
      </c>
      <c r="AR15" s="40">
        <f t="shared" si="32"/>
        <v>20.094258372665497</v>
      </c>
      <c r="AS15">
        <f t="shared" si="33"/>
        <v>32.847222308098722</v>
      </c>
      <c r="AT15">
        <f t="shared" si="34"/>
        <v>46.341074961931049</v>
      </c>
      <c r="AU15">
        <f t="shared" si="35"/>
        <v>46.286876907426247</v>
      </c>
      <c r="AV15">
        <f t="shared" si="36"/>
        <v>6.0606060606060659</v>
      </c>
      <c r="AW15">
        <f t="shared" si="37"/>
        <v>49.542217700915572</v>
      </c>
    </row>
    <row r="16" spans="1:49" x14ac:dyDescent="0.25">
      <c r="A16" s="1" t="s">
        <v>30</v>
      </c>
      <c r="B16" s="34">
        <f>D16*C_factor!E14</f>
        <v>2.1005395243899505</v>
      </c>
      <c r="C16" s="35">
        <f>'P Index Results'!B15/10</f>
        <v>0.61599999999999999</v>
      </c>
      <c r="D16" s="38">
        <v>2.08</v>
      </c>
      <c r="E16" s="35">
        <f>'P Index Results'!C15/10</f>
        <v>0.29700000000000004</v>
      </c>
      <c r="F16" s="34">
        <f>D16*C_factor!F14</f>
        <v>1.9462383465080284</v>
      </c>
      <c r="G16" s="35">
        <f>'P Index Results'!D15/10</f>
        <v>0.30399999999999999</v>
      </c>
      <c r="H16" s="22">
        <f t="shared" si="0"/>
        <v>1.2300773257847486</v>
      </c>
      <c r="I16" s="23">
        <f t="shared" si="1"/>
        <v>0.48263411527869954</v>
      </c>
      <c r="J16" s="22">
        <f t="shared" si="2"/>
        <v>1.2180493668051058</v>
      </c>
      <c r="K16" s="23">
        <f t="shared" si="3"/>
        <v>0.23269859129508733</v>
      </c>
      <c r="L16" s="22">
        <f t="shared" si="4"/>
        <v>1.1397184546230383</v>
      </c>
      <c r="M16" s="23">
        <f t="shared" si="5"/>
        <v>0.23818306987779977</v>
      </c>
      <c r="N16" s="13">
        <f>'Buffer Trapping Line'!V14*(1-EXP(-'Buffer Trapping Line'!W14*5.03))</f>
        <v>41.439934288216072</v>
      </c>
      <c r="O16" s="13">
        <f>'Buffer Trapping Line'!S14*(1-EXP(-'Buffer Trapping Line'!T14*5.03))</f>
        <v>21.650305961250073</v>
      </c>
      <c r="P16" s="28">
        <f t="shared" si="6"/>
        <v>0.43694574465914943</v>
      </c>
      <c r="Q16" s="29">
        <f t="shared" si="7"/>
        <v>0.29765795333604461</v>
      </c>
      <c r="R16" s="28">
        <f t="shared" si="8"/>
        <v>0.43267319578525087</v>
      </c>
      <c r="S16" s="29">
        <f t="shared" si="9"/>
        <v>0.14351365607273583</v>
      </c>
      <c r="T16" s="28">
        <f t="shared" si="10"/>
        <v>0.40484863708818802</v>
      </c>
      <c r="U16" s="29">
        <f t="shared" si="11"/>
        <v>0.14689613281519084</v>
      </c>
      <c r="V16" s="10">
        <f>'Buffer Trapping Line'!V14*(1-EXP(-'Buffer Trapping Line'!W14*15.24))</f>
        <v>79.198404048786017</v>
      </c>
      <c r="W16" s="10">
        <f>'Buffer Trapping Line'!S14*(1-EXP(-'Buffer Trapping Line'!T14*15.24))</f>
        <v>51.678903679213533</v>
      </c>
      <c r="X16" s="13">
        <f t="shared" si="14"/>
        <v>0.87046219860520191</v>
      </c>
      <c r="Y16" s="13">
        <f t="shared" si="15"/>
        <v>0.13336588472130045</v>
      </c>
      <c r="Z16" s="13">
        <f t="shared" si="16"/>
        <v>0.86195063319489429</v>
      </c>
      <c r="AA16" s="13">
        <f t="shared" si="17"/>
        <v>6.4301408704912716E-2</v>
      </c>
      <c r="AB16" s="13">
        <f t="shared" si="18"/>
        <v>0.80651989188499007</v>
      </c>
      <c r="AC16" s="13">
        <f t="shared" si="19"/>
        <v>6.5816930122200218E-2</v>
      </c>
      <c r="AD16" s="10">
        <f t="shared" si="20"/>
        <v>1.6635937797308011</v>
      </c>
      <c r="AE16" s="10">
        <f t="shared" si="21"/>
        <v>0.31834204666395538</v>
      </c>
      <c r="AF16" s="10">
        <f t="shared" si="22"/>
        <v>1.6473268042147491</v>
      </c>
      <c r="AG16" s="10">
        <f t="shared" si="23"/>
        <v>0.15348634392726421</v>
      </c>
      <c r="AH16" s="10">
        <f t="shared" si="24"/>
        <v>1.5413897094198403</v>
      </c>
      <c r="AI16" s="10">
        <f t="shared" si="25"/>
        <v>0.15710386718480915</v>
      </c>
      <c r="AJ16" s="53"/>
      <c r="AK16" s="53"/>
      <c r="AL16" s="6">
        <f t="shared" si="26"/>
        <v>41.439934288216072</v>
      </c>
      <c r="AM16" s="6">
        <f t="shared" si="27"/>
        <v>37.758469760569945</v>
      </c>
      <c r="AN16" s="6">
        <f t="shared" si="28"/>
        <v>79.198404048786017</v>
      </c>
      <c r="AO16" s="6">
        <f t="shared" si="29"/>
        <v>21.650305961250073</v>
      </c>
      <c r="AP16" s="6">
        <f t="shared" si="30"/>
        <v>30.028597717963461</v>
      </c>
      <c r="AQ16" s="6">
        <f t="shared" si="31"/>
        <v>51.678903679213533</v>
      </c>
      <c r="AR16" s="40">
        <f t="shared" si="32"/>
        <v>0.97782137167429228</v>
      </c>
      <c r="AS16">
        <f t="shared" si="33"/>
        <v>6.4308487255755553</v>
      </c>
      <c r="AT16">
        <f t="shared" si="34"/>
        <v>7.3457878840311297</v>
      </c>
      <c r="AU16">
        <f t="shared" si="35"/>
        <v>51.785714285714278</v>
      </c>
      <c r="AV16">
        <f t="shared" si="36"/>
        <v>-2.3569023569023351</v>
      </c>
      <c r="AW16">
        <f t="shared" si="37"/>
        <v>50.649350649350652</v>
      </c>
    </row>
    <row r="17" spans="1:49" x14ac:dyDescent="0.25">
      <c r="A17" s="1" t="s">
        <v>90</v>
      </c>
      <c r="B17" s="34">
        <f>D17*C_factor!E15</f>
        <v>6.6632150657730485</v>
      </c>
      <c r="C17" s="35">
        <f>'P Index Results'!B16/10</f>
        <v>0.623</v>
      </c>
      <c r="D17" s="38">
        <v>5.0199999999999996</v>
      </c>
      <c r="E17" s="35">
        <f>'P Index Results'!C16/10</f>
        <v>0.437</v>
      </c>
      <c r="F17" s="34">
        <f>D17*C_factor!F15</f>
        <v>3.5451155362553388</v>
      </c>
      <c r="G17" s="35">
        <f>'P Index Results'!D16/10</f>
        <v>0.45</v>
      </c>
      <c r="H17" s="22">
        <f t="shared" si="0"/>
        <v>3.9019831210341835</v>
      </c>
      <c r="I17" s="23">
        <f t="shared" si="1"/>
        <v>0.48811859386141204</v>
      </c>
      <c r="J17" s="22">
        <f t="shared" si="2"/>
        <v>2.9397152987315529</v>
      </c>
      <c r="K17" s="23">
        <f t="shared" si="3"/>
        <v>0.34238816294933716</v>
      </c>
      <c r="L17" s="22">
        <f t="shared" si="4"/>
        <v>2.0760219875897876</v>
      </c>
      <c r="M17" s="23">
        <f t="shared" si="5"/>
        <v>0.35257362317437468</v>
      </c>
      <c r="N17" s="13">
        <f>'Buffer Trapping Line'!V15*(1-EXP(-'Buffer Trapping Line'!W15*5.03))</f>
        <v>41.439934288216072</v>
      </c>
      <c r="O17" s="13">
        <f>'Buffer Trapping Line'!S15*(1-EXP(-'Buffer Trapping Line'!T15*5.03))</f>
        <v>21.650305961250073</v>
      </c>
      <c r="P17" s="28">
        <f t="shared" si="6"/>
        <v>1.3860550753425265</v>
      </c>
      <c r="Q17" s="29">
        <f t="shared" si="7"/>
        <v>0.30104043007849968</v>
      </c>
      <c r="R17" s="28">
        <f t="shared" si="8"/>
        <v>1.0442401167509419</v>
      </c>
      <c r="S17" s="29">
        <f t="shared" si="9"/>
        <v>0.21116319092183686</v>
      </c>
      <c r="T17" s="28">
        <f t="shared" si="10"/>
        <v>0.73744060985554849</v>
      </c>
      <c r="U17" s="29">
        <f t="shared" si="11"/>
        <v>0.2174449334435391</v>
      </c>
      <c r="V17" s="10">
        <f>'Buffer Trapping Line'!V15*(1-EXP(-'Buffer Trapping Line'!W15*15.24))</f>
        <v>79.198404048786017</v>
      </c>
      <c r="W17" s="10">
        <f>'Buffer Trapping Line'!S15*(1-EXP(-'Buffer Trapping Line'!T15*15.24))</f>
        <v>51.678903679213533</v>
      </c>
      <c r="X17" s="13">
        <f t="shared" si="14"/>
        <v>2.7612319447388649</v>
      </c>
      <c r="Y17" s="13">
        <f t="shared" si="15"/>
        <v>0.13488140613858796</v>
      </c>
      <c r="Z17" s="13">
        <f t="shared" si="16"/>
        <v>2.0802847012684467</v>
      </c>
      <c r="AA17" s="13">
        <f t="shared" si="17"/>
        <v>9.4611837050662839E-2</v>
      </c>
      <c r="AB17" s="13">
        <f t="shared" si="18"/>
        <v>1.4690935486655512</v>
      </c>
      <c r="AC17" s="13">
        <f t="shared" si="19"/>
        <v>9.7426376825625327E-2</v>
      </c>
      <c r="AD17" s="10">
        <f t="shared" si="20"/>
        <v>5.2771599904305218</v>
      </c>
      <c r="AE17" s="10">
        <f t="shared" si="21"/>
        <v>0.32195956992150032</v>
      </c>
      <c r="AF17" s="10">
        <f t="shared" si="22"/>
        <v>3.9757598832490579</v>
      </c>
      <c r="AG17" s="10">
        <f t="shared" si="23"/>
        <v>0.22583680907816314</v>
      </c>
      <c r="AH17" s="10">
        <f t="shared" si="24"/>
        <v>2.8076749263997902</v>
      </c>
      <c r="AI17" s="10">
        <f t="shared" si="25"/>
        <v>0.23255506655646091</v>
      </c>
      <c r="AJ17" s="53"/>
      <c r="AK17" s="53"/>
      <c r="AL17" s="6">
        <f t="shared" si="26"/>
        <v>41.439934288216072</v>
      </c>
      <c r="AM17" s="6">
        <f t="shared" si="27"/>
        <v>37.758469760569945</v>
      </c>
      <c r="AN17" s="6">
        <f t="shared" si="28"/>
        <v>79.198404048786017</v>
      </c>
      <c r="AO17" s="6">
        <f t="shared" si="29"/>
        <v>21.650305961250073</v>
      </c>
      <c r="AP17" s="6">
        <f t="shared" si="30"/>
        <v>30.028597717963461</v>
      </c>
      <c r="AQ17" s="6">
        <f t="shared" si="31"/>
        <v>51.678903679213533</v>
      </c>
      <c r="AR17" s="40">
        <f t="shared" si="32"/>
        <v>24.660993972920899</v>
      </c>
      <c r="AS17">
        <f t="shared" si="33"/>
        <v>29.380168600491253</v>
      </c>
      <c r="AT17">
        <f t="shared" si="34"/>
        <v>46.795720965611011</v>
      </c>
      <c r="AU17">
        <f t="shared" si="35"/>
        <v>29.855537720706259</v>
      </c>
      <c r="AV17">
        <f t="shared" si="36"/>
        <v>-2.9748283752860427</v>
      </c>
      <c r="AW17">
        <f t="shared" si="37"/>
        <v>27.768860353130009</v>
      </c>
    </row>
    <row r="18" spans="1:49" x14ac:dyDescent="0.25">
      <c r="A18" s="1" t="s">
        <v>91</v>
      </c>
      <c r="B18" s="34">
        <f>D18*C_factor!E16</f>
        <v>3.0037559179361843</v>
      </c>
      <c r="C18" s="35">
        <f>'P Index Results'!B17/10</f>
        <v>0.751</v>
      </c>
      <c r="D18" s="38">
        <v>2.84</v>
      </c>
      <c r="E18" s="35">
        <f>'P Index Results'!C17/10</f>
        <v>0.33199999999999996</v>
      </c>
      <c r="F18" s="34">
        <f>D18*C_factor!F16</f>
        <v>2.4157818096194306</v>
      </c>
      <c r="G18" s="35">
        <f>'P Index Results'!D17/10</f>
        <v>0.309</v>
      </c>
      <c r="H18" s="22">
        <f t="shared" si="0"/>
        <v>1.759001439365028</v>
      </c>
      <c r="I18" s="23">
        <f t="shared" si="1"/>
        <v>0.58840620223101192</v>
      </c>
      <c r="J18" s="22">
        <f t="shared" si="2"/>
        <v>1.6631058662146634</v>
      </c>
      <c r="K18" s="23">
        <f t="shared" si="3"/>
        <v>0.26012098420864971</v>
      </c>
      <c r="L18" s="22">
        <f t="shared" si="4"/>
        <v>1.4146834151664613</v>
      </c>
      <c r="M18" s="23">
        <f t="shared" si="5"/>
        <v>0.24210055457973728</v>
      </c>
      <c r="N18" s="13">
        <f>'Buffer Trapping Line'!V16*(1-EXP(-'Buffer Trapping Line'!W16*5.03))</f>
        <v>41.439934288216072</v>
      </c>
      <c r="O18" s="13">
        <f>'Buffer Trapping Line'!S16*(1-EXP(-'Buffer Trapping Line'!T16*5.03))</f>
        <v>21.650305961250073</v>
      </c>
      <c r="P18" s="28">
        <f t="shared" si="6"/>
        <v>0.62482916940976374</v>
      </c>
      <c r="Q18" s="29">
        <f t="shared" si="7"/>
        <v>0.36289143336910634</v>
      </c>
      <c r="R18" s="28">
        <f t="shared" si="8"/>
        <v>0.59076532501447709</v>
      </c>
      <c r="S18" s="29">
        <f t="shared" si="9"/>
        <v>0.16042603978501105</v>
      </c>
      <c r="T18" s="28">
        <f t="shared" si="10"/>
        <v>0.50252117109995931</v>
      </c>
      <c r="U18" s="29">
        <f t="shared" si="11"/>
        <v>0.14931218763123019</v>
      </c>
      <c r="V18" s="10">
        <f>'Buffer Trapping Line'!V16*(1-EXP(-'Buffer Trapping Line'!W16*15.24))</f>
        <v>79.198404048786017</v>
      </c>
      <c r="W18" s="10">
        <f>'Buffer Trapping Line'!S16*(1-EXP(-'Buffer Trapping Line'!T16*15.24))</f>
        <v>51.678903679213533</v>
      </c>
      <c r="X18" s="13">
        <f t="shared" si="14"/>
        <v>1.2447544785711564</v>
      </c>
      <c r="Y18" s="13">
        <f t="shared" si="15"/>
        <v>0.16259379776898808</v>
      </c>
      <c r="Z18" s="13">
        <f t="shared" si="16"/>
        <v>1.1768941337853365</v>
      </c>
      <c r="AA18" s="13">
        <f t="shared" si="17"/>
        <v>7.1879015791350254E-2</v>
      </c>
      <c r="AB18" s="13">
        <f t="shared" si="18"/>
        <v>1.0010983944529692</v>
      </c>
      <c r="AC18" s="13">
        <f t="shared" si="19"/>
        <v>6.6899445420262715E-2</v>
      </c>
      <c r="AD18" s="10">
        <f t="shared" si="20"/>
        <v>2.3789267485264207</v>
      </c>
      <c r="AE18" s="10">
        <f t="shared" si="21"/>
        <v>0.38810856663089366</v>
      </c>
      <c r="AF18" s="10">
        <f t="shared" si="22"/>
        <v>2.249234674985523</v>
      </c>
      <c r="AG18" s="10">
        <f t="shared" si="23"/>
        <v>0.17157396021498891</v>
      </c>
      <c r="AH18" s="10">
        <f t="shared" si="24"/>
        <v>1.9132606385194713</v>
      </c>
      <c r="AI18" s="10">
        <f t="shared" si="25"/>
        <v>0.1596878123687698</v>
      </c>
      <c r="AJ18" s="53"/>
      <c r="AK18" s="53"/>
      <c r="AL18" s="6">
        <f t="shared" si="26"/>
        <v>41.439934288216072</v>
      </c>
      <c r="AM18" s="6">
        <f t="shared" si="27"/>
        <v>37.758469760569945</v>
      </c>
      <c r="AN18" s="6">
        <f t="shared" si="28"/>
        <v>79.198404048786017</v>
      </c>
      <c r="AO18" s="6">
        <f t="shared" si="29"/>
        <v>21.650305961250073</v>
      </c>
      <c r="AP18" s="6">
        <f t="shared" si="30"/>
        <v>30.028597717963461</v>
      </c>
      <c r="AQ18" s="6">
        <f t="shared" si="31"/>
        <v>51.678903679213533</v>
      </c>
      <c r="AR18" s="40">
        <f t="shared" si="32"/>
        <v>5.4517052120765408</v>
      </c>
      <c r="AS18">
        <f t="shared" si="33"/>
        <v>14.937260224667936</v>
      </c>
      <c r="AT18">
        <f t="shared" si="34"/>
        <v>19.574630042534814</v>
      </c>
      <c r="AU18">
        <f t="shared" si="35"/>
        <v>55.792276964047936</v>
      </c>
      <c r="AV18">
        <f t="shared" si="36"/>
        <v>6.9277108433734806</v>
      </c>
      <c r="AW18">
        <f t="shared" si="37"/>
        <v>58.854860186418115</v>
      </c>
    </row>
    <row r="19" spans="1:49" x14ac:dyDescent="0.25">
      <c r="A19" s="1" t="s">
        <v>33</v>
      </c>
      <c r="B19" s="34">
        <f>D19*C_factor!E17</f>
        <v>17.543725422915319</v>
      </c>
      <c r="C19" s="35">
        <f>'P Index Results'!B18/10</f>
        <v>1.841</v>
      </c>
      <c r="D19" s="38">
        <v>14.37</v>
      </c>
      <c r="E19" s="35">
        <f>'P Index Results'!C18/10</f>
        <v>1.1519999999999999</v>
      </c>
      <c r="F19" s="34">
        <f>D19*C_factor!F17</f>
        <v>11.076337433770142</v>
      </c>
      <c r="G19" s="35">
        <f>'P Index Results'!D18/10</f>
        <v>1.1179999999999999</v>
      </c>
      <c r="H19" s="22">
        <f t="shared" si="0"/>
        <v>17.300546190217929</v>
      </c>
      <c r="I19" s="23">
        <f t="shared" si="1"/>
        <v>1.8154813056176125</v>
      </c>
      <c r="J19" s="22">
        <f t="shared" si="2"/>
        <v>14.170812798329761</v>
      </c>
      <c r="K19" s="23">
        <f t="shared" si="3"/>
        <v>1.1360317566928244</v>
      </c>
      <c r="L19" s="22">
        <f t="shared" si="4"/>
        <v>10.922804750528112</v>
      </c>
      <c r="M19" s="23">
        <f t="shared" si="5"/>
        <v>1.1025030416515429</v>
      </c>
      <c r="N19" s="13">
        <f>'Buffer Trapping Line'!V17*(1-EXP(-'Buffer Trapping Line'!W17*5.03))</f>
        <v>1.3861322315256637</v>
      </c>
      <c r="O19" s="13">
        <f>'Buffer Trapping Line'!S17*(1-EXP(-'Buffer Trapping Line'!T17*5.03))</f>
        <v>1.3861322315256637</v>
      </c>
      <c r="P19" s="28">
        <f t="shared" si="6"/>
        <v>16.851213270865962</v>
      </c>
      <c r="Q19" s="29">
        <f t="shared" si="7"/>
        <v>1.7683292963045583</v>
      </c>
      <c r="R19" s="28">
        <f t="shared" si="8"/>
        <v>13.802765881529876</v>
      </c>
      <c r="S19" s="29">
        <f t="shared" si="9"/>
        <v>1.1065265341351715</v>
      </c>
      <c r="T19" s="28">
        <f t="shared" si="10"/>
        <v>10.639115687067132</v>
      </c>
      <c r="U19" s="29">
        <f t="shared" si="11"/>
        <v>1.0738686329540987</v>
      </c>
      <c r="V19" s="10">
        <f>'Buffer Trapping Line'!V17*(1-EXP(-'Buffer Trapping Line'!W17*15.24))</f>
        <v>3.9473494674330158</v>
      </c>
      <c r="W19" s="10">
        <f>'Buffer Trapping Line'!S17*(1-EXP(-'Buffer Trapping Line'!T17*15.24))</f>
        <v>3.9473494674330158</v>
      </c>
      <c r="X19" s="13">
        <f t="shared" si="14"/>
        <v>0.24317923269738984</v>
      </c>
      <c r="Y19" s="13">
        <f t="shared" si="15"/>
        <v>2.5518694382387519E-2</v>
      </c>
      <c r="Z19" s="13">
        <f t="shared" si="16"/>
        <v>0.19918720167023807</v>
      </c>
      <c r="AA19" s="13">
        <f t="shared" si="17"/>
        <v>1.59682433071755E-2</v>
      </c>
      <c r="AB19" s="13">
        <f t="shared" si="18"/>
        <v>0.15353268324203029</v>
      </c>
      <c r="AC19" s="13">
        <f t="shared" si="19"/>
        <v>1.5496958348456991E-2</v>
      </c>
      <c r="AD19" s="10">
        <f t="shared" si="20"/>
        <v>0.6925121520493569</v>
      </c>
      <c r="AE19" s="10">
        <f t="shared" si="21"/>
        <v>7.2670703695441707E-2</v>
      </c>
      <c r="AF19" s="10">
        <f t="shared" si="22"/>
        <v>0.56723411847012351</v>
      </c>
      <c r="AG19" s="10">
        <f t="shared" si="23"/>
        <v>4.5473465864828366E-2</v>
      </c>
      <c r="AH19" s="10">
        <f t="shared" si="24"/>
        <v>0.43722174670300973</v>
      </c>
      <c r="AI19" s="10">
        <f t="shared" si="25"/>
        <v>4.4131367045901149E-2</v>
      </c>
      <c r="AJ19" s="53"/>
      <c r="AK19" s="53"/>
      <c r="AL19" s="6">
        <f t="shared" si="26"/>
        <v>1.3861322315256637</v>
      </c>
      <c r="AM19" s="6">
        <f t="shared" si="27"/>
        <v>2.5612172359073524</v>
      </c>
      <c r="AN19" s="6">
        <f t="shared" si="28"/>
        <v>3.9473494674330158</v>
      </c>
      <c r="AO19" s="6">
        <f t="shared" si="29"/>
        <v>1.3861322315256637</v>
      </c>
      <c r="AP19" s="6">
        <f t="shared" si="30"/>
        <v>2.5612172359073524</v>
      </c>
      <c r="AQ19" s="6">
        <f t="shared" si="31"/>
        <v>3.9473494674330158</v>
      </c>
      <c r="AR19" s="40">
        <f t="shared" si="32"/>
        <v>18.090373318142873</v>
      </c>
      <c r="AS19">
        <f t="shared" si="33"/>
        <v>22.920407559010837</v>
      </c>
      <c r="AT19">
        <f t="shared" si="34"/>
        <v>36.864393583688802</v>
      </c>
      <c r="AU19">
        <f t="shared" si="35"/>
        <v>37.425312330255302</v>
      </c>
      <c r="AV19">
        <f t="shared" si="36"/>
        <v>2.9513888888888951</v>
      </c>
      <c r="AW19">
        <f t="shared" si="37"/>
        <v>39.272134709397079</v>
      </c>
    </row>
    <row r="20" spans="1:49" x14ac:dyDescent="0.25">
      <c r="A20" s="1" t="s">
        <v>34</v>
      </c>
      <c r="B20" s="34">
        <f>D20*C_factor!E18</f>
        <v>19.009705346657594</v>
      </c>
      <c r="C20" s="35">
        <f>'P Index Results'!B19/10</f>
        <v>2.5179999999999998</v>
      </c>
      <c r="D20" s="38">
        <v>16.21</v>
      </c>
      <c r="E20" s="35">
        <f>'P Index Results'!C19/10</f>
        <v>1.7</v>
      </c>
      <c r="F20" s="34">
        <f>D20*C_factor!F18</f>
        <v>10.321275088122992</v>
      </c>
      <c r="G20" s="35">
        <f>'P Index Results'!D19/10</f>
        <v>1.69</v>
      </c>
      <c r="H20" s="22">
        <f t="shared" si="0"/>
        <v>14.894045976774111</v>
      </c>
      <c r="I20" s="23">
        <f t="shared" si="1"/>
        <v>2.2353090098188662</v>
      </c>
      <c r="J20" s="22">
        <f t="shared" si="2"/>
        <v>12.700485403681364</v>
      </c>
      <c r="K20" s="23">
        <f t="shared" si="3"/>
        <v>1.5091442878046359</v>
      </c>
      <c r="L20" s="22">
        <f t="shared" si="4"/>
        <v>8.0866874524420815</v>
      </c>
      <c r="M20" s="23">
        <f t="shared" si="5"/>
        <v>1.5002669684646086</v>
      </c>
      <c r="N20" s="13">
        <f>'Buffer Trapping Line'!V18*(1-EXP(-'Buffer Trapping Line'!W18*5.03))</f>
        <v>21.650305961250073</v>
      </c>
      <c r="O20" s="13">
        <f>'Buffer Trapping Line'!S18*(1-EXP(-'Buffer Trapping Line'!T18*5.03))</f>
        <v>11.226806599727302</v>
      </c>
      <c r="P20" s="28">
        <f t="shared" si="6"/>
        <v>9.1856980308561109</v>
      </c>
      <c r="Q20" s="29">
        <f t="shared" si="7"/>
        <v>1.7600516494685159</v>
      </c>
      <c r="R20" s="28">
        <f t="shared" si="8"/>
        <v>7.8328497135994866</v>
      </c>
      <c r="S20" s="29">
        <f t="shared" si="9"/>
        <v>1.1882795091725487</v>
      </c>
      <c r="T20" s="28">
        <f t="shared" si="10"/>
        <v>4.9873532768652487</v>
      </c>
      <c r="U20" s="29">
        <f t="shared" si="11"/>
        <v>1.1812896297068276</v>
      </c>
      <c r="V20" s="10">
        <f>'Buffer Trapping Line'!V18*(1-EXP(-'Buffer Trapping Line'!W18*15.24))</f>
        <v>51.678903679213533</v>
      </c>
      <c r="W20" s="10">
        <f>'Buffer Trapping Line'!S18*(1-EXP(-'Buffer Trapping Line'!T18*15.24))</f>
        <v>30.101205342791257</v>
      </c>
      <c r="X20" s="13">
        <f t="shared" si="14"/>
        <v>4.1156593698834829</v>
      </c>
      <c r="Y20" s="13">
        <f t="shared" si="15"/>
        <v>0.28269099018113364</v>
      </c>
      <c r="Z20" s="13">
        <f t="shared" si="16"/>
        <v>3.5095145963186365</v>
      </c>
      <c r="AA20" s="13">
        <f t="shared" si="17"/>
        <v>0.19085571219536401</v>
      </c>
      <c r="AB20" s="13">
        <f t="shared" si="18"/>
        <v>2.23458763568091</v>
      </c>
      <c r="AC20" s="13">
        <f t="shared" si="19"/>
        <v>0.18973303153539134</v>
      </c>
      <c r="AD20" s="10">
        <f t="shared" si="20"/>
        <v>9.8240073158014827</v>
      </c>
      <c r="AE20" s="10">
        <f t="shared" si="21"/>
        <v>0.75794835053148391</v>
      </c>
      <c r="AF20" s="10">
        <f t="shared" si="22"/>
        <v>8.3771502864005143</v>
      </c>
      <c r="AG20" s="10">
        <f t="shared" si="23"/>
        <v>0.5117204908274513</v>
      </c>
      <c r="AH20" s="10">
        <f t="shared" si="24"/>
        <v>5.3339218112577429</v>
      </c>
      <c r="AI20" s="10">
        <f t="shared" si="25"/>
        <v>0.50871037029317234</v>
      </c>
      <c r="AJ20" s="53"/>
      <c r="AK20" s="53"/>
      <c r="AL20" s="6">
        <f t="shared" si="26"/>
        <v>21.650305961250073</v>
      </c>
      <c r="AM20" s="6">
        <f t="shared" si="27"/>
        <v>30.028597717963461</v>
      </c>
      <c r="AN20" s="6">
        <f t="shared" si="28"/>
        <v>51.678903679213533</v>
      </c>
      <c r="AO20" s="6">
        <f t="shared" si="29"/>
        <v>11.226806599727302</v>
      </c>
      <c r="AP20" s="6">
        <f t="shared" si="30"/>
        <v>18.874398743063956</v>
      </c>
      <c r="AQ20" s="6">
        <f t="shared" si="31"/>
        <v>30.101205342791257</v>
      </c>
      <c r="AR20" s="40">
        <f t="shared" si="32"/>
        <v>14.727768240499605</v>
      </c>
      <c r="AS20">
        <f t="shared" si="33"/>
        <v>36.327729252788451</v>
      </c>
      <c r="AT20">
        <f t="shared" si="34"/>
        <v>45.705233721901209</v>
      </c>
      <c r="AU20">
        <f t="shared" si="35"/>
        <v>32.486100079428113</v>
      </c>
      <c r="AV20">
        <f t="shared" si="36"/>
        <v>0.58823529411764497</v>
      </c>
      <c r="AW20">
        <f t="shared" si="37"/>
        <v>32.883240667196176</v>
      </c>
    </row>
    <row r="21" spans="1:49" x14ac:dyDescent="0.25">
      <c r="A21" s="1" t="s">
        <v>92</v>
      </c>
      <c r="B21" s="34">
        <f>D21*C_factor!E19</f>
        <v>0.30383922534467556</v>
      </c>
      <c r="C21" s="35">
        <f>'P Index Results'!B20/10</f>
        <v>0.39500000000000002</v>
      </c>
      <c r="D21" s="38">
        <v>0.3</v>
      </c>
      <c r="E21" s="35">
        <f>'P Index Results'!C20/10</f>
        <v>0.13400000000000001</v>
      </c>
      <c r="F21" s="34">
        <f>D21*C_factor!F19</f>
        <v>0.27357280492596653</v>
      </c>
      <c r="G21" s="35">
        <f>'P Index Results'!D20/10</f>
        <v>0.126</v>
      </c>
      <c r="H21" s="22">
        <f t="shared" si="0"/>
        <v>0</v>
      </c>
      <c r="I21" s="23">
        <f t="shared" si="1"/>
        <v>0</v>
      </c>
      <c r="J21" s="22">
        <f t="shared" si="2"/>
        <v>0</v>
      </c>
      <c r="K21" s="23">
        <f t="shared" si="3"/>
        <v>0</v>
      </c>
      <c r="L21" s="22">
        <f t="shared" si="4"/>
        <v>0</v>
      </c>
      <c r="M21" s="23">
        <f t="shared" si="5"/>
        <v>0</v>
      </c>
      <c r="N21" s="13">
        <f>'Buffer Trapping Line'!V19*(1-EXP(-'Buffer Trapping Line'!W19*5.03))</f>
        <v>100</v>
      </c>
      <c r="O21" s="13">
        <f>'Buffer Trapping Line'!S19*(1-EXP(-'Buffer Trapping Line'!T19*5.03))</f>
        <v>100</v>
      </c>
      <c r="P21" s="28">
        <f t="shared" si="6"/>
        <v>0</v>
      </c>
      <c r="Q21" s="29">
        <f t="shared" si="7"/>
        <v>0</v>
      </c>
      <c r="R21" s="28">
        <f t="shared" si="8"/>
        <v>0</v>
      </c>
      <c r="S21" s="29">
        <f t="shared" si="9"/>
        <v>0</v>
      </c>
      <c r="T21" s="28">
        <f t="shared" si="10"/>
        <v>0</v>
      </c>
      <c r="U21" s="29">
        <f t="shared" si="11"/>
        <v>0</v>
      </c>
      <c r="V21" s="10">
        <f>'Buffer Trapping Line'!V19*(1-EXP(-'Buffer Trapping Line'!W19*15.24))</f>
        <v>100</v>
      </c>
      <c r="W21" s="10">
        <f>'Buffer Trapping Line'!S19*(1-EXP(-'Buffer Trapping Line'!T19*15.24))</f>
        <v>100</v>
      </c>
      <c r="X21" s="13">
        <f t="shared" si="14"/>
        <v>0.30383922534467556</v>
      </c>
      <c r="Y21" s="13">
        <f t="shared" si="15"/>
        <v>0.39500000000000002</v>
      </c>
      <c r="Z21" s="13">
        <f t="shared" si="16"/>
        <v>0.3</v>
      </c>
      <c r="AA21" s="13">
        <f t="shared" si="17"/>
        <v>0.13400000000000001</v>
      </c>
      <c r="AB21" s="13">
        <f t="shared" si="18"/>
        <v>0.27357280492596653</v>
      </c>
      <c r="AC21" s="13">
        <f t="shared" si="19"/>
        <v>0.126</v>
      </c>
      <c r="AD21" s="10">
        <f t="shared" si="20"/>
        <v>0.30383922534467556</v>
      </c>
      <c r="AE21" s="10">
        <f t="shared" si="21"/>
        <v>0.39500000000000002</v>
      </c>
      <c r="AF21" s="10">
        <f t="shared" si="22"/>
        <v>0.3</v>
      </c>
      <c r="AG21" s="10">
        <f t="shared" si="23"/>
        <v>0.13400000000000001</v>
      </c>
      <c r="AH21" s="10">
        <f t="shared" si="24"/>
        <v>0.27357280492596653</v>
      </c>
      <c r="AI21" s="10">
        <f t="shared" si="25"/>
        <v>0.126</v>
      </c>
      <c r="AJ21" s="53"/>
      <c r="AK21" s="53"/>
      <c r="AL21" s="6">
        <f t="shared" si="26"/>
        <v>100</v>
      </c>
      <c r="AM21" s="6">
        <f t="shared" si="27"/>
        <v>0</v>
      </c>
      <c r="AN21" s="6">
        <f t="shared" si="28"/>
        <v>100</v>
      </c>
      <c r="AO21" s="6">
        <f t="shared" si="29"/>
        <v>100</v>
      </c>
      <c r="AP21" s="6">
        <f t="shared" si="30"/>
        <v>0</v>
      </c>
      <c r="AQ21" s="6">
        <f t="shared" si="31"/>
        <v>100</v>
      </c>
      <c r="AR21" s="40">
        <f t="shared" si="32"/>
        <v>1.2635713312921792</v>
      </c>
      <c r="AS21">
        <f t="shared" si="33"/>
        <v>8.809065024677821</v>
      </c>
      <c r="AT21">
        <f t="shared" si="34"/>
        <v>9.9613275357632869</v>
      </c>
      <c r="AU21">
        <f t="shared" si="35"/>
        <v>66.075949367088612</v>
      </c>
      <c r="AV21">
        <f t="shared" si="36"/>
        <v>5.9701492537313499</v>
      </c>
      <c r="AW21">
        <f t="shared" si="37"/>
        <v>68.101265822784825</v>
      </c>
    </row>
    <row r="22" spans="1:49" x14ac:dyDescent="0.25">
      <c r="A22" s="1" t="s">
        <v>36</v>
      </c>
      <c r="B22" s="34">
        <f>D22*C_factor!E20</f>
        <v>6.0007721097641387</v>
      </c>
      <c r="C22" s="35">
        <f>'P Index Results'!B21/10</f>
        <v>1.0779999999999998</v>
      </c>
      <c r="D22" s="38">
        <v>5.62</v>
      </c>
      <c r="E22" s="35">
        <f>'P Index Results'!C21/10</f>
        <v>0.65900000000000003</v>
      </c>
      <c r="F22" s="34">
        <f>D22*C_factor!F20</f>
        <v>3.7877295398443711</v>
      </c>
      <c r="G22" s="35">
        <f>'P Index Results'!D21/10</f>
        <v>0.65700000000000003</v>
      </c>
      <c r="H22" s="22">
        <f t="shared" si="0"/>
        <v>5.3270770305105435</v>
      </c>
      <c r="I22" s="23">
        <f t="shared" si="1"/>
        <v>1.0028903520302084</v>
      </c>
      <c r="J22" s="22">
        <f t="shared" si="2"/>
        <v>4.9890534690953254</v>
      </c>
      <c r="K22" s="23">
        <f t="shared" si="3"/>
        <v>0.61308417624110145</v>
      </c>
      <c r="L22" s="22">
        <f t="shared" si="4"/>
        <v>3.3624884698853026</v>
      </c>
      <c r="M22" s="23">
        <f t="shared" si="5"/>
        <v>0.61122352623733489</v>
      </c>
      <c r="N22" s="13">
        <f>'Buffer Trapping Line'!V20*(1-EXP(-'Buffer Trapping Line'!W20*5.03))</f>
        <v>11.226806599727302</v>
      </c>
      <c r="O22" s="13">
        <f>'Buffer Trapping Line'!S20*(1-EXP(-'Buffer Trapping Line'!T20*5.03))</f>
        <v>6.9674998116689739</v>
      </c>
      <c r="P22" s="28">
        <f t="shared" si="6"/>
        <v>4.1944673748510883</v>
      </c>
      <c r="Q22" s="29">
        <f t="shared" si="7"/>
        <v>0.88668521951147095</v>
      </c>
      <c r="R22" s="28">
        <f t="shared" si="8"/>
        <v>3.9283122597351312</v>
      </c>
      <c r="S22" s="29">
        <f t="shared" si="9"/>
        <v>0.54204597370877494</v>
      </c>
      <c r="T22" s="28">
        <f t="shared" si="10"/>
        <v>2.6475772932262545</v>
      </c>
      <c r="U22" s="29">
        <f t="shared" si="11"/>
        <v>0.540400917642891</v>
      </c>
      <c r="V22" s="10">
        <f>'Buffer Trapping Line'!V20*(1-EXP(-'Buffer Trapping Line'!W20*15.24))</f>
        <v>30.101205342791257</v>
      </c>
      <c r="W22" s="10">
        <f>'Buffer Trapping Line'!S20*(1-EXP(-'Buffer Trapping Line'!T20*15.24))</f>
        <v>17.747196705800455</v>
      </c>
      <c r="X22" s="13">
        <f t="shared" si="14"/>
        <v>0.67369507925359517</v>
      </c>
      <c r="Y22" s="13">
        <f t="shared" si="15"/>
        <v>7.5109647969791471E-2</v>
      </c>
      <c r="Z22" s="13">
        <f t="shared" si="16"/>
        <v>0.63094653090467467</v>
      </c>
      <c r="AA22" s="13">
        <f t="shared" si="17"/>
        <v>4.5915823758898577E-2</v>
      </c>
      <c r="AB22" s="13">
        <f t="shared" si="18"/>
        <v>0.42524106995906852</v>
      </c>
      <c r="AC22" s="13">
        <f t="shared" si="19"/>
        <v>4.5776473762665137E-2</v>
      </c>
      <c r="AD22" s="10">
        <f t="shared" si="20"/>
        <v>1.8063047349130503</v>
      </c>
      <c r="AE22" s="10">
        <f t="shared" si="21"/>
        <v>0.1913147804885289</v>
      </c>
      <c r="AF22" s="10">
        <f t="shared" si="22"/>
        <v>1.6916877402648689</v>
      </c>
      <c r="AG22" s="10">
        <f t="shared" si="23"/>
        <v>0.11695402629122509</v>
      </c>
      <c r="AH22" s="10">
        <f t="shared" si="24"/>
        <v>1.1401522466181166</v>
      </c>
      <c r="AI22" s="10">
        <f t="shared" si="25"/>
        <v>0.11659908235710903</v>
      </c>
      <c r="AJ22" s="53"/>
      <c r="AK22" s="53"/>
      <c r="AL22" s="6">
        <f t="shared" si="26"/>
        <v>11.226806599727302</v>
      </c>
      <c r="AM22" s="6">
        <f t="shared" si="27"/>
        <v>18.874398743063956</v>
      </c>
      <c r="AN22" s="6">
        <f t="shared" si="28"/>
        <v>30.101205342791257</v>
      </c>
      <c r="AO22" s="6">
        <f t="shared" si="29"/>
        <v>6.9674998116689739</v>
      </c>
      <c r="AP22" s="6">
        <f t="shared" si="30"/>
        <v>10.779696894131481</v>
      </c>
      <c r="AQ22" s="6">
        <f t="shared" si="31"/>
        <v>17.747196705800455</v>
      </c>
      <c r="AR22" s="40">
        <f t="shared" si="32"/>
        <v>6.3453852737477945</v>
      </c>
      <c r="AS22">
        <f t="shared" si="33"/>
        <v>32.602677226968488</v>
      </c>
      <c r="AT22">
        <f t="shared" si="34"/>
        <v>36.879297021108705</v>
      </c>
      <c r="AU22">
        <f t="shared" si="35"/>
        <v>38.868274582560282</v>
      </c>
      <c r="AV22">
        <f t="shared" si="36"/>
        <v>0.30349013657056112</v>
      </c>
      <c r="AW22">
        <f t="shared" si="37"/>
        <v>39.053803339517614</v>
      </c>
    </row>
    <row r="23" spans="1:49" x14ac:dyDescent="0.25">
      <c r="A23" s="1" t="s">
        <v>37</v>
      </c>
      <c r="B23" s="34">
        <f>D23*C_factor!E21</f>
        <v>5.0459163142951384</v>
      </c>
      <c r="C23" s="35">
        <f>'P Index Results'!B22/10</f>
        <v>0.8</v>
      </c>
      <c r="D23" s="38">
        <v>4.18</v>
      </c>
      <c r="E23" s="35">
        <f>'P Index Results'!C22/10</f>
        <v>0.434</v>
      </c>
      <c r="F23" s="34">
        <f>D23*C_factor!F21</f>
        <v>2.6871532998901664</v>
      </c>
      <c r="G23" s="35">
        <f>'P Index Results'!D22/10</f>
        <v>0.41</v>
      </c>
      <c r="H23" s="22">
        <f t="shared" si="0"/>
        <v>4.9759732418868818</v>
      </c>
      <c r="I23" s="23">
        <f t="shared" si="1"/>
        <v>0.78891094214779478</v>
      </c>
      <c r="J23" s="22">
        <f t="shared" si="2"/>
        <v>4.1220596727222274</v>
      </c>
      <c r="K23" s="23">
        <f t="shared" si="3"/>
        <v>0.42798418611517863</v>
      </c>
      <c r="L23" s="22">
        <f t="shared" si="4"/>
        <v>2.6499058018898833</v>
      </c>
      <c r="M23" s="23">
        <f t="shared" si="5"/>
        <v>0.40431685785074478</v>
      </c>
      <c r="N23" s="13">
        <f>'Buffer Trapping Line'!V21*(1-EXP(-'Buffer Trapping Line'!W21*5.03))</f>
        <v>1.3861322315256637</v>
      </c>
      <c r="O23" s="13">
        <f>'Buffer Trapping Line'!S21*(1-EXP(-'Buffer Trapping Line'!T21*5.03))</f>
        <v>1.3861322315256637</v>
      </c>
      <c r="P23" s="28">
        <f t="shared" si="6"/>
        <v>4.8467363635356939</v>
      </c>
      <c r="Q23" s="29">
        <f t="shared" si="7"/>
        <v>0.76842120426053595</v>
      </c>
      <c r="R23" s="28">
        <f t="shared" si="8"/>
        <v>4.0150007922612998</v>
      </c>
      <c r="S23" s="29">
        <f t="shared" si="9"/>
        <v>0.41686850331134073</v>
      </c>
      <c r="T23" s="28">
        <f t="shared" si="10"/>
        <v>2.5810819684178434</v>
      </c>
      <c r="U23" s="29">
        <f t="shared" si="11"/>
        <v>0.39381586718352463</v>
      </c>
      <c r="V23" s="10">
        <f>'Buffer Trapping Line'!V21*(1-EXP(-'Buffer Trapping Line'!W21*15.24))</f>
        <v>3.9473494674330158</v>
      </c>
      <c r="W23" s="10">
        <f>'Buffer Trapping Line'!S21*(1-EXP(-'Buffer Trapping Line'!T21*15.24))</f>
        <v>3.9473494674330158</v>
      </c>
      <c r="X23" s="13">
        <f t="shared" si="14"/>
        <v>6.994307240825659E-2</v>
      </c>
      <c r="Y23" s="13">
        <f t="shared" si="15"/>
        <v>1.1089057852205264E-2</v>
      </c>
      <c r="Z23" s="13">
        <f t="shared" si="16"/>
        <v>5.7940327277772319E-2</v>
      </c>
      <c r="AA23" s="13">
        <f t="shared" si="17"/>
        <v>6.0158138848213638E-3</v>
      </c>
      <c r="AB23" s="13">
        <f t="shared" si="18"/>
        <v>3.7247498000283041E-2</v>
      </c>
      <c r="AC23" s="13">
        <f t="shared" si="19"/>
        <v>5.6831421492551937E-3</v>
      </c>
      <c r="AD23" s="10">
        <f t="shared" si="20"/>
        <v>0.1991799507594445</v>
      </c>
      <c r="AE23" s="10">
        <f t="shared" si="21"/>
        <v>3.1578795739464094E-2</v>
      </c>
      <c r="AF23" s="10">
        <f t="shared" si="22"/>
        <v>0.16499920773869992</v>
      </c>
      <c r="AG23" s="10">
        <f t="shared" si="23"/>
        <v>1.7131496688659265E-2</v>
      </c>
      <c r="AH23" s="10">
        <f t="shared" si="24"/>
        <v>0.10607133147232295</v>
      </c>
      <c r="AI23" s="10">
        <f t="shared" si="25"/>
        <v>1.618413281647535E-2</v>
      </c>
      <c r="AJ23" s="53"/>
      <c r="AK23" s="53"/>
      <c r="AL23" s="6">
        <f t="shared" si="26"/>
        <v>1.3861322315256637</v>
      </c>
      <c r="AM23" s="6">
        <f t="shared" si="27"/>
        <v>2.5612172359073524</v>
      </c>
      <c r="AN23" s="6">
        <f t="shared" si="28"/>
        <v>3.9473494674330158</v>
      </c>
      <c r="AO23" s="6">
        <f t="shared" si="29"/>
        <v>1.3861322315256637</v>
      </c>
      <c r="AP23" s="6">
        <f t="shared" si="30"/>
        <v>2.5612172359073524</v>
      </c>
      <c r="AQ23" s="6">
        <f t="shared" si="31"/>
        <v>3.9473494674330158</v>
      </c>
      <c r="AR23" s="40">
        <f t="shared" si="32"/>
        <v>17.160734747859131</v>
      </c>
      <c r="AS23">
        <f t="shared" si="33"/>
        <v>35.714035887795056</v>
      </c>
      <c r="AT23">
        <f t="shared" si="34"/>
        <v>46.745979669194462</v>
      </c>
      <c r="AU23">
        <f t="shared" si="35"/>
        <v>45.75</v>
      </c>
      <c r="AV23">
        <f t="shared" si="36"/>
        <v>5.5299539170507011</v>
      </c>
      <c r="AW23">
        <f t="shared" si="37"/>
        <v>48.750000000000007</v>
      </c>
    </row>
    <row r="24" spans="1:49" x14ac:dyDescent="0.25">
      <c r="A24" s="1" t="s">
        <v>38</v>
      </c>
      <c r="B24" s="34">
        <f>D24*C_factor!E22</f>
        <v>18.404622578946785</v>
      </c>
      <c r="C24" s="35">
        <f>'P Index Results'!B23/10</f>
        <v>2.1559999999999997</v>
      </c>
      <c r="D24" s="38">
        <v>15.14</v>
      </c>
      <c r="E24" s="35">
        <f>'P Index Results'!C23/10</f>
        <v>1.3439999999999999</v>
      </c>
      <c r="F24" s="34">
        <f>D24*C_factor!F22</f>
        <v>10.36019254618888</v>
      </c>
      <c r="G24" s="35">
        <f>'P Index Results'!D23/10</f>
        <v>1.2689999999999999</v>
      </c>
      <c r="H24" s="22">
        <f t="shared" si="0"/>
        <v>18.149510173289354</v>
      </c>
      <c r="I24" s="23">
        <f t="shared" si="1"/>
        <v>2.1261149890883067</v>
      </c>
      <c r="J24" s="22">
        <f t="shared" si="2"/>
        <v>14.930139580147015</v>
      </c>
      <c r="K24" s="23">
        <f t="shared" si="3"/>
        <v>1.325370382808295</v>
      </c>
      <c r="L24" s="22">
        <f t="shared" si="4"/>
        <v>10.216586578058036</v>
      </c>
      <c r="M24" s="23">
        <f t="shared" si="5"/>
        <v>1.2514099819819393</v>
      </c>
      <c r="N24" s="13">
        <f>'Buffer Trapping Line'!V22*(1-EXP(-'Buffer Trapping Line'!W22*5.03))</f>
        <v>1.3861322315256637</v>
      </c>
      <c r="O24" s="13">
        <f>'Buffer Trapping Line'!S22*(1-EXP(-'Buffer Trapping Line'!T22*5.03))</f>
        <v>1.3861322315256637</v>
      </c>
      <c r="P24" s="28">
        <f t="shared" si="6"/>
        <v>17.678127807593672</v>
      </c>
      <c r="Q24" s="29">
        <f t="shared" si="7"/>
        <v>2.0708951454821438</v>
      </c>
      <c r="R24" s="28">
        <f t="shared" si="8"/>
        <v>14.542371290630642</v>
      </c>
      <c r="S24" s="29">
        <f t="shared" si="9"/>
        <v>1.2909476231577002</v>
      </c>
      <c r="T24" s="28">
        <f t="shared" si="10"/>
        <v>9.9512395408918586</v>
      </c>
      <c r="U24" s="29">
        <f t="shared" si="11"/>
        <v>1.2189081352582749</v>
      </c>
      <c r="V24" s="10">
        <f>'Buffer Trapping Line'!V22*(1-EXP(-'Buffer Trapping Line'!W22*15.24))</f>
        <v>3.9473494674330158</v>
      </c>
      <c r="W24" s="10">
        <f>'Buffer Trapping Line'!S22*(1-EXP(-'Buffer Trapping Line'!T22*15.24))</f>
        <v>3.9473494674330158</v>
      </c>
      <c r="X24" s="13">
        <f t="shared" si="14"/>
        <v>0.25511240565743165</v>
      </c>
      <c r="Y24" s="13">
        <f t="shared" si="15"/>
        <v>2.9885010911693044E-2</v>
      </c>
      <c r="Z24" s="13">
        <f t="shared" si="16"/>
        <v>0.2098604198529852</v>
      </c>
      <c r="AA24" s="13">
        <f t="shared" si="17"/>
        <v>1.8629617191704861E-2</v>
      </c>
      <c r="AB24" s="13">
        <f t="shared" si="18"/>
        <v>0.14360596813084392</v>
      </c>
      <c r="AC24" s="13">
        <f t="shared" si="19"/>
        <v>1.7590018018060594E-2</v>
      </c>
      <c r="AD24" s="10">
        <f t="shared" si="20"/>
        <v>0.72649477135311358</v>
      </c>
      <c r="AE24" s="10">
        <f t="shared" si="21"/>
        <v>8.5104854517855877E-2</v>
      </c>
      <c r="AF24" s="10">
        <f t="shared" si="22"/>
        <v>0.59762870936935819</v>
      </c>
      <c r="AG24" s="10">
        <f t="shared" si="23"/>
        <v>5.3052376842299687E-2</v>
      </c>
      <c r="AH24" s="10">
        <f t="shared" si="24"/>
        <v>0.40895300529702183</v>
      </c>
      <c r="AI24" s="10">
        <f t="shared" si="25"/>
        <v>5.0091864741725001E-2</v>
      </c>
      <c r="AJ24" s="53"/>
      <c r="AK24" s="53"/>
      <c r="AL24" s="6">
        <f t="shared" si="26"/>
        <v>1.3861322315256637</v>
      </c>
      <c r="AM24" s="6">
        <f t="shared" si="27"/>
        <v>2.5612172359073524</v>
      </c>
      <c r="AN24" s="6">
        <f t="shared" si="28"/>
        <v>3.9473494674330158</v>
      </c>
      <c r="AO24" s="6">
        <f t="shared" si="29"/>
        <v>1.3861322315256637</v>
      </c>
      <c r="AP24" s="6">
        <f t="shared" si="30"/>
        <v>2.5612172359073524</v>
      </c>
      <c r="AQ24" s="6">
        <f t="shared" si="31"/>
        <v>3.9473494674330158</v>
      </c>
      <c r="AR24" s="40">
        <f t="shared" si="32"/>
        <v>17.738057734915014</v>
      </c>
      <c r="AS24">
        <f t="shared" si="33"/>
        <v>31.570722944591278</v>
      </c>
      <c r="AT24">
        <f t="shared" si="34"/>
        <v>43.708747616264631</v>
      </c>
      <c r="AU24">
        <f t="shared" si="35"/>
        <v>37.662337662337663</v>
      </c>
      <c r="AV24">
        <f t="shared" si="36"/>
        <v>5.5803571428571397</v>
      </c>
      <c r="AW24">
        <f t="shared" si="37"/>
        <v>41.141001855287563</v>
      </c>
    </row>
    <row r="25" spans="1:49" x14ac:dyDescent="0.25">
      <c r="A25" s="1" t="s">
        <v>39</v>
      </c>
      <c r="B25" s="34">
        <f>D25*C_factor!E23</f>
        <v>17.760281745417767</v>
      </c>
      <c r="C25" s="35">
        <f>'P Index Results'!B24/10</f>
        <v>2.431</v>
      </c>
      <c r="D25" s="38">
        <v>14.88</v>
      </c>
      <c r="E25" s="35">
        <f>'P Index Results'!C24/10</f>
        <v>1.659</v>
      </c>
      <c r="F25" s="34">
        <f>D25*C_factor!F23</f>
        <v>9.5380645926710006</v>
      </c>
      <c r="G25" s="35">
        <f>'P Index Results'!D24/10</f>
        <v>1.6440000000000001</v>
      </c>
      <c r="H25" s="22">
        <f t="shared" si="0"/>
        <v>15.766369262293042</v>
      </c>
      <c r="I25" s="23">
        <f t="shared" si="1"/>
        <v>2.2616200795783272</v>
      </c>
      <c r="J25" s="22">
        <f t="shared" si="2"/>
        <v>13.209451177960577</v>
      </c>
      <c r="K25" s="23">
        <f t="shared" si="3"/>
        <v>1.5434091781244117</v>
      </c>
      <c r="L25" s="22">
        <f t="shared" si="4"/>
        <v>8.4672445274947599</v>
      </c>
      <c r="M25" s="23">
        <f t="shared" si="5"/>
        <v>1.5294543030961623</v>
      </c>
      <c r="N25" s="13">
        <f>'Buffer Trapping Line'!V23*(1-EXP(-'Buffer Trapping Line'!W23*5.03))</f>
        <v>11.226806599727302</v>
      </c>
      <c r="O25" s="13">
        <f>'Buffer Trapping Line'!S23*(1-EXP(-'Buffer Trapping Line'!T23*5.03))</f>
        <v>6.9674998116689739</v>
      </c>
      <c r="P25" s="28">
        <f t="shared" si="6"/>
        <v>12.414222867771294</v>
      </c>
      <c r="Q25" s="29">
        <f t="shared" si="7"/>
        <v>1.9995656480819908</v>
      </c>
      <c r="R25" s="28">
        <f t="shared" si="8"/>
        <v>10.40094064499266</v>
      </c>
      <c r="S25" s="29">
        <f t="shared" si="9"/>
        <v>1.3645740066507703</v>
      </c>
      <c r="T25" s="28">
        <f t="shared" si="10"/>
        <v>6.6669921839030364</v>
      </c>
      <c r="U25" s="29">
        <f t="shared" si="11"/>
        <v>1.3522360861566405</v>
      </c>
      <c r="V25" s="10">
        <f>'Buffer Trapping Line'!V23*(1-EXP(-'Buffer Trapping Line'!W23*15.24))</f>
        <v>30.101205342791257</v>
      </c>
      <c r="W25" s="10">
        <f>'Buffer Trapping Line'!S23*(1-EXP(-'Buffer Trapping Line'!T23*15.24))</f>
        <v>17.747196705800455</v>
      </c>
      <c r="X25" s="13">
        <f t="shared" si="14"/>
        <v>1.9939124831247259</v>
      </c>
      <c r="Y25" s="13">
        <f t="shared" si="15"/>
        <v>0.16937992042167282</v>
      </c>
      <c r="Z25" s="13">
        <f t="shared" si="16"/>
        <v>1.6705488220394233</v>
      </c>
      <c r="AA25" s="13">
        <f t="shared" si="17"/>
        <v>0.11559082187558833</v>
      </c>
      <c r="AB25" s="13">
        <f t="shared" si="18"/>
        <v>1.0708200651762407</v>
      </c>
      <c r="AC25" s="13">
        <f t="shared" si="19"/>
        <v>0.11454569690383787</v>
      </c>
      <c r="AD25" s="10">
        <f t="shared" si="20"/>
        <v>5.3460588776464739</v>
      </c>
      <c r="AE25" s="10">
        <f t="shared" si="21"/>
        <v>0.43143435191800927</v>
      </c>
      <c r="AF25" s="10">
        <f t="shared" si="22"/>
        <v>4.4790593550073403</v>
      </c>
      <c r="AG25" s="10">
        <f t="shared" si="23"/>
        <v>0.2944259933492297</v>
      </c>
      <c r="AH25" s="10">
        <f t="shared" si="24"/>
        <v>2.8710724087679642</v>
      </c>
      <c r="AI25" s="10">
        <f t="shared" si="25"/>
        <v>0.29176391384335965</v>
      </c>
      <c r="AJ25" s="53"/>
      <c r="AK25" s="53"/>
      <c r="AL25" s="6">
        <f t="shared" si="26"/>
        <v>11.226806599727302</v>
      </c>
      <c r="AM25" s="6">
        <f t="shared" si="27"/>
        <v>18.874398743063956</v>
      </c>
      <c r="AN25" s="6">
        <f t="shared" si="28"/>
        <v>30.101205342791257</v>
      </c>
      <c r="AO25" s="6">
        <f t="shared" si="29"/>
        <v>6.9674998116689739</v>
      </c>
      <c r="AP25" s="6">
        <f t="shared" si="30"/>
        <v>10.779696894131481</v>
      </c>
      <c r="AQ25" s="6">
        <f t="shared" si="31"/>
        <v>17.747196705800455</v>
      </c>
      <c r="AR25" s="40">
        <f t="shared" si="32"/>
        <v>16.217545344745965</v>
      </c>
      <c r="AS25">
        <f t="shared" si="33"/>
        <v>35.900103543877691</v>
      </c>
      <c r="AT25">
        <f t="shared" si="34"/>
        <v>46.295533317584535</v>
      </c>
      <c r="AU25">
        <f t="shared" si="35"/>
        <v>31.756478815302348</v>
      </c>
      <c r="AV25">
        <f t="shared" si="36"/>
        <v>0.90415913200723175</v>
      </c>
      <c r="AW25">
        <f t="shared" si="37"/>
        <v>32.373508844097074</v>
      </c>
    </row>
    <row r="26" spans="1:49" x14ac:dyDescent="0.25">
      <c r="A26" s="1" t="s">
        <v>40</v>
      </c>
      <c r="B26" s="34">
        <f>D26*C_factor!E24</f>
        <v>38.079705607546721</v>
      </c>
      <c r="C26" s="35">
        <f>'P Index Results'!B25/10</f>
        <v>3.4850000000000003</v>
      </c>
      <c r="D26" s="38">
        <v>31.13</v>
      </c>
      <c r="E26" s="35">
        <f>'P Index Results'!C25/10</f>
        <v>2.3780000000000001</v>
      </c>
      <c r="F26" s="34">
        <f>D26*C_factor!F24</f>
        <v>24.61431470359264</v>
      </c>
      <c r="G26" s="35">
        <f>'P Index Results'!D25/10</f>
        <v>2.3289999999999997</v>
      </c>
      <c r="H26" s="22">
        <f t="shared" si="0"/>
        <v>37.55187053445043</v>
      </c>
      <c r="I26" s="23">
        <f t="shared" si="1"/>
        <v>3.4366932917313311</v>
      </c>
      <c r="J26" s="22">
        <f t="shared" si="2"/>
        <v>30.69849703632606</v>
      </c>
      <c r="K26" s="23">
        <f t="shared" si="3"/>
        <v>2.3450377755343199</v>
      </c>
      <c r="L26" s="22">
        <f t="shared" si="4"/>
        <v>24.273127753916985</v>
      </c>
      <c r="M26" s="23">
        <f t="shared" si="5"/>
        <v>2.2967169803277669</v>
      </c>
      <c r="N26" s="13">
        <f>'Buffer Trapping Line'!V24*(1-EXP(-'Buffer Trapping Line'!W24*5.03))</f>
        <v>1.3861322315256637</v>
      </c>
      <c r="O26" s="13">
        <f>'Buffer Trapping Line'!S24*(1-EXP(-'Buffer Trapping Line'!T24*5.03))</f>
        <v>1.3861322315256637</v>
      </c>
      <c r="P26" s="28">
        <f t="shared" si="6"/>
        <v>36.576566551047165</v>
      </c>
      <c r="Q26" s="29">
        <f t="shared" si="7"/>
        <v>3.34743487105996</v>
      </c>
      <c r="R26" s="28">
        <f t="shared" si="8"/>
        <v>29.9011901107881</v>
      </c>
      <c r="S26" s="29">
        <f t="shared" si="9"/>
        <v>2.284132029664443</v>
      </c>
      <c r="T26" s="28">
        <f t="shared" si="10"/>
        <v>23.64270168322809</v>
      </c>
      <c r="U26" s="29">
        <f t="shared" si="11"/>
        <v>2.2370662309034848</v>
      </c>
      <c r="V26" s="10">
        <f>'Buffer Trapping Line'!V24*(1-EXP(-'Buffer Trapping Line'!W24*15.24))</f>
        <v>3.9473494674330158</v>
      </c>
      <c r="W26" s="10">
        <f>'Buffer Trapping Line'!S24*(1-EXP(-'Buffer Trapping Line'!T24*15.24))</f>
        <v>3.9473494674330158</v>
      </c>
      <c r="X26" s="13">
        <f t="shared" si="14"/>
        <v>0.5278350730962913</v>
      </c>
      <c r="Y26" s="13">
        <f t="shared" si="15"/>
        <v>4.830670826866923E-2</v>
      </c>
      <c r="Z26" s="13">
        <f t="shared" si="16"/>
        <v>0.43150296367393892</v>
      </c>
      <c r="AA26" s="13">
        <f t="shared" si="17"/>
        <v>3.2962224465680201E-2</v>
      </c>
      <c r="AB26" s="13">
        <f t="shared" si="18"/>
        <v>0.34118694967565588</v>
      </c>
      <c r="AC26" s="13">
        <f t="shared" si="19"/>
        <v>3.2283019672232793E-2</v>
      </c>
      <c r="AD26" s="10">
        <f t="shared" si="20"/>
        <v>1.5031390564995561</v>
      </c>
      <c r="AE26" s="10">
        <f t="shared" si="21"/>
        <v>0.13756512894004036</v>
      </c>
      <c r="AF26" s="10">
        <f t="shared" si="22"/>
        <v>1.2288098892118988</v>
      </c>
      <c r="AG26" s="10">
        <f t="shared" si="23"/>
        <v>9.386797033555716E-2</v>
      </c>
      <c r="AH26" s="10">
        <f t="shared" si="24"/>
        <v>0.97161302036455055</v>
      </c>
      <c r="AI26" s="10">
        <f t="shared" si="25"/>
        <v>9.1933769096514961E-2</v>
      </c>
      <c r="AJ26" s="53"/>
      <c r="AK26" s="53"/>
      <c r="AL26" s="6">
        <f t="shared" si="26"/>
        <v>1.3861322315256637</v>
      </c>
      <c r="AM26" s="6">
        <f t="shared" si="27"/>
        <v>2.5612172359073524</v>
      </c>
      <c r="AN26" s="6">
        <f t="shared" si="28"/>
        <v>3.9473494674330158</v>
      </c>
      <c r="AO26" s="6">
        <f t="shared" si="29"/>
        <v>1.3861322315256637</v>
      </c>
      <c r="AP26" s="6">
        <f t="shared" si="30"/>
        <v>2.5612172359073524</v>
      </c>
      <c r="AQ26" s="6">
        <f t="shared" si="31"/>
        <v>3.9473494674330158</v>
      </c>
      <c r="AR26" s="40">
        <f t="shared" si="32"/>
        <v>18.250418422797399</v>
      </c>
      <c r="AS26">
        <f t="shared" si="33"/>
        <v>20.930566323184575</v>
      </c>
      <c r="AT26">
        <f t="shared" si="34"/>
        <v>35.361068813739671</v>
      </c>
      <c r="AU26">
        <f t="shared" si="35"/>
        <v>31.764705882352938</v>
      </c>
      <c r="AV26">
        <f t="shared" si="36"/>
        <v>2.0605550883095236</v>
      </c>
      <c r="AW26">
        <f t="shared" si="37"/>
        <v>33.170731707317088</v>
      </c>
    </row>
    <row r="27" spans="1:49" x14ac:dyDescent="0.25">
      <c r="A27" s="1" t="s">
        <v>41</v>
      </c>
      <c r="B27" s="34">
        <f>D27*C_factor!E25</f>
        <v>6.5433621818154624</v>
      </c>
      <c r="C27" s="35">
        <f>'P Index Results'!B26/10</f>
        <v>1.032</v>
      </c>
      <c r="D27" s="38">
        <v>5.65</v>
      </c>
      <c r="E27" s="35">
        <f>'P Index Results'!C26/10</f>
        <v>0.57800000000000007</v>
      </c>
      <c r="F27" s="34">
        <f>D27*C_factor!F25</f>
        <v>3.9850672513518863</v>
      </c>
      <c r="G27" s="35">
        <f>'P Index Results'!D26/10</f>
        <v>0.55899999999999994</v>
      </c>
      <c r="H27" s="22">
        <f t="shared" si="0"/>
        <v>1.5087970470663332</v>
      </c>
      <c r="I27" s="23">
        <f t="shared" si="1"/>
        <v>0.60433987814561019</v>
      </c>
      <c r="J27" s="22">
        <f t="shared" si="2"/>
        <v>1.3028016910963036</v>
      </c>
      <c r="K27" s="23">
        <f t="shared" si="3"/>
        <v>0.33847717981411113</v>
      </c>
      <c r="L27" s="22">
        <f t="shared" si="4"/>
        <v>0.91889422198119219</v>
      </c>
      <c r="M27" s="23">
        <f t="shared" si="5"/>
        <v>0.32735076732887214</v>
      </c>
      <c r="N27" s="13">
        <f>'Buffer Trapping Line'!V25*(1-EXP(-'Buffer Trapping Line'!W25*5.03))</f>
        <v>76.941562989445956</v>
      </c>
      <c r="O27" s="13">
        <f>'Buffer Trapping Line'!S25*(1-EXP(-'Buffer Trapping Line'!T25*5.03))</f>
        <v>41.439934288216072</v>
      </c>
      <c r="P27" s="28">
        <f t="shared" si="6"/>
        <v>0.2496083872570731</v>
      </c>
      <c r="Q27" s="29">
        <f t="shared" si="7"/>
        <v>0.2146724702165283</v>
      </c>
      <c r="R27" s="28">
        <f t="shared" si="8"/>
        <v>0.21552947075461706</v>
      </c>
      <c r="S27" s="29">
        <f t="shared" si="9"/>
        <v>0.12023322459801683</v>
      </c>
      <c r="T27" s="28">
        <f t="shared" si="10"/>
        <v>0.15201759922219973</v>
      </c>
      <c r="U27" s="29">
        <f t="shared" si="11"/>
        <v>0.11628092136728616</v>
      </c>
      <c r="V27" s="10">
        <f>'Buffer Trapping Line'!V25*(1-EXP(-'Buffer Trapping Line'!W25*15.24))</f>
        <v>96.185319101688194</v>
      </c>
      <c r="W27" s="10">
        <f>'Buffer Trapping Line'!S25*(1-EXP(-'Buffer Trapping Line'!T25*15.24))</f>
        <v>79.198404048786017</v>
      </c>
      <c r="X27" s="13">
        <f t="shared" si="14"/>
        <v>5.0345651347491289</v>
      </c>
      <c r="Y27" s="13">
        <f t="shared" si="15"/>
        <v>0.42766012185438984</v>
      </c>
      <c r="Z27" s="13">
        <f t="shared" si="16"/>
        <v>4.347198308903697</v>
      </c>
      <c r="AA27" s="13">
        <f t="shared" si="17"/>
        <v>0.23952282018588894</v>
      </c>
      <c r="AB27" s="13">
        <f t="shared" si="18"/>
        <v>3.0661730293706944</v>
      </c>
      <c r="AC27" s="13">
        <f t="shared" si="19"/>
        <v>0.2316492326711278</v>
      </c>
      <c r="AD27" s="10">
        <f t="shared" si="20"/>
        <v>6.2937537945583895</v>
      </c>
      <c r="AE27" s="10">
        <f t="shared" si="21"/>
        <v>0.81732752978347167</v>
      </c>
      <c r="AF27" s="10">
        <f t="shared" si="22"/>
        <v>5.4344705292453837</v>
      </c>
      <c r="AG27" s="10">
        <f t="shared" si="23"/>
        <v>0.45776677540198324</v>
      </c>
      <c r="AH27" s="10">
        <f t="shared" si="24"/>
        <v>3.8330496521296866</v>
      </c>
      <c r="AI27" s="10">
        <f t="shared" si="25"/>
        <v>0.44271907863271376</v>
      </c>
      <c r="AJ27" s="53"/>
      <c r="AK27" s="53"/>
      <c r="AL27" s="6">
        <f t="shared" si="26"/>
        <v>76.941562989445956</v>
      </c>
      <c r="AM27" s="6">
        <f t="shared" si="27"/>
        <v>19.243756112242238</v>
      </c>
      <c r="AN27" s="6">
        <f t="shared" si="28"/>
        <v>96.185319101688194</v>
      </c>
      <c r="AO27" s="6">
        <f t="shared" si="29"/>
        <v>41.439934288216072</v>
      </c>
      <c r="AP27" s="6">
        <f t="shared" si="30"/>
        <v>37.758469760569945</v>
      </c>
      <c r="AQ27" s="6">
        <f t="shared" si="31"/>
        <v>79.198404048786017</v>
      </c>
      <c r="AR27" s="40">
        <f t="shared" si="32"/>
        <v>13.65295328291911</v>
      </c>
      <c r="AS27">
        <f t="shared" si="33"/>
        <v>29.46783625925865</v>
      </c>
      <c r="AT27">
        <f t="shared" si="34"/>
        <v>39.097559624214085</v>
      </c>
      <c r="AU27">
        <f t="shared" si="35"/>
        <v>43.992248062015491</v>
      </c>
      <c r="AV27">
        <f t="shared" si="36"/>
        <v>3.2871972318339271</v>
      </c>
      <c r="AW27">
        <f t="shared" si="37"/>
        <v>45.833333333333336</v>
      </c>
    </row>
    <row r="28" spans="1:49" x14ac:dyDescent="0.25">
      <c r="A28" s="1" t="s">
        <v>42</v>
      </c>
      <c r="B28" s="34">
        <f>D28*C_factor!E26</f>
        <v>3.9927070673270189</v>
      </c>
      <c r="C28" s="35">
        <f>'P Index Results'!B27/10</f>
        <v>0.57800000000000007</v>
      </c>
      <c r="D28" s="38">
        <v>3.2</v>
      </c>
      <c r="E28" s="35">
        <f>'P Index Results'!C27/10</f>
        <v>0.312</v>
      </c>
      <c r="F28" s="34">
        <f>D28*C_factor!F26</f>
        <v>2.2175741126184962</v>
      </c>
      <c r="G28" s="35">
        <f>'P Index Results'!D27/10</f>
        <v>0.3</v>
      </c>
      <c r="H28" s="22">
        <f t="shared" si="0"/>
        <v>0.92065584413554036</v>
      </c>
      <c r="I28" s="23">
        <f t="shared" si="1"/>
        <v>0.33847717981411113</v>
      </c>
      <c r="J28" s="22">
        <f t="shared" si="2"/>
        <v>0.73786998433772943</v>
      </c>
      <c r="K28" s="23">
        <f t="shared" si="3"/>
        <v>0.18270740502076585</v>
      </c>
      <c r="L28" s="22">
        <f t="shared" si="4"/>
        <v>0.51133792992048877</v>
      </c>
      <c r="M28" s="23">
        <f t="shared" si="5"/>
        <v>0.17568019713535177</v>
      </c>
      <c r="N28" s="13">
        <f>'Buffer Trapping Line'!V26*(1-EXP(-'Buffer Trapping Line'!W26*5.03))</f>
        <v>76.941562989445956</v>
      </c>
      <c r="O28" s="13">
        <f>'Buffer Trapping Line'!S26*(1-EXP(-'Buffer Trapping Line'!T26*5.03))</f>
        <v>41.439934288216072</v>
      </c>
      <c r="P28" s="28">
        <f t="shared" si="6"/>
        <v>0.15230903382286931</v>
      </c>
      <c r="Q28" s="29">
        <f t="shared" si="7"/>
        <v>0.12023322459801683</v>
      </c>
      <c r="R28" s="28">
        <f t="shared" si="8"/>
        <v>0.12206978874597781</v>
      </c>
      <c r="S28" s="29">
        <f t="shared" si="9"/>
        <v>6.4900979367787631E-2</v>
      </c>
      <c r="T28" s="28">
        <f t="shared" si="10"/>
        <v>8.4593376079965324E-2</v>
      </c>
      <c r="U28" s="29">
        <f t="shared" si="11"/>
        <v>6.2404787853641945E-2</v>
      </c>
      <c r="V28" s="10">
        <f>'Buffer Trapping Line'!V26*(1-EXP(-'Buffer Trapping Line'!W26*15.24))</f>
        <v>96.185319101688194</v>
      </c>
      <c r="W28" s="10">
        <f>'Buffer Trapping Line'!S26*(1-EXP(-'Buffer Trapping Line'!T26*15.24))</f>
        <v>79.198404048786017</v>
      </c>
      <c r="X28" s="13">
        <f t="shared" si="14"/>
        <v>3.0720512231914787</v>
      </c>
      <c r="Y28" s="13">
        <f t="shared" si="15"/>
        <v>0.23952282018588894</v>
      </c>
      <c r="Z28" s="13">
        <f t="shared" si="16"/>
        <v>2.4621300156622707</v>
      </c>
      <c r="AA28" s="13">
        <f t="shared" si="17"/>
        <v>0.12929259497923415</v>
      </c>
      <c r="AB28" s="13">
        <f t="shared" si="18"/>
        <v>1.7062361826980075</v>
      </c>
      <c r="AC28" s="13">
        <f t="shared" si="19"/>
        <v>0.12431980286464822</v>
      </c>
      <c r="AD28" s="10">
        <f t="shared" si="20"/>
        <v>3.8403980335041497</v>
      </c>
      <c r="AE28" s="10">
        <f t="shared" si="21"/>
        <v>0.45776677540198324</v>
      </c>
      <c r="AF28" s="10">
        <f t="shared" si="22"/>
        <v>3.0779302112540226</v>
      </c>
      <c r="AG28" s="10">
        <f t="shared" si="23"/>
        <v>0.24709902063221237</v>
      </c>
      <c r="AH28" s="10">
        <f t="shared" si="24"/>
        <v>2.1329807365385309</v>
      </c>
      <c r="AI28" s="10">
        <f t="shared" si="25"/>
        <v>0.23759521214635804</v>
      </c>
      <c r="AJ28" s="53"/>
      <c r="AK28" s="53"/>
      <c r="AL28" s="6">
        <f t="shared" si="26"/>
        <v>76.941562989445956</v>
      </c>
      <c r="AM28" s="6">
        <f t="shared" si="27"/>
        <v>19.243756112242238</v>
      </c>
      <c r="AN28" s="6">
        <f t="shared" si="28"/>
        <v>96.185319101688194</v>
      </c>
      <c r="AO28" s="6">
        <f t="shared" si="29"/>
        <v>41.439934288216072</v>
      </c>
      <c r="AP28" s="6">
        <f t="shared" si="30"/>
        <v>37.758469760569945</v>
      </c>
      <c r="AQ28" s="6">
        <f t="shared" si="31"/>
        <v>79.198404048786017</v>
      </c>
      <c r="AR28" s="40">
        <f t="shared" si="32"/>
        <v>19.853874926459582</v>
      </c>
      <c r="AS28">
        <f t="shared" si="33"/>
        <v>30.700808980672001</v>
      </c>
      <c r="AT28">
        <f t="shared" si="34"/>
        <v>44.459383690697685</v>
      </c>
      <c r="AU28">
        <f t="shared" si="35"/>
        <v>46.020761245674748</v>
      </c>
      <c r="AV28">
        <f t="shared" si="36"/>
        <v>3.8461538461538547</v>
      </c>
      <c r="AW28">
        <f t="shared" si="37"/>
        <v>48.096885813148795</v>
      </c>
    </row>
    <row r="29" spans="1:49" x14ac:dyDescent="0.25">
      <c r="A29" s="1" t="s">
        <v>93</v>
      </c>
      <c r="B29" s="34">
        <f>D29*C_factor!E27</f>
        <v>1.3665379649997009</v>
      </c>
      <c r="C29" s="35">
        <f>'P Index Results'!B28/10</f>
        <v>0.73699999999999999</v>
      </c>
      <c r="D29" s="38">
        <v>1.36</v>
      </c>
      <c r="E29" s="35">
        <f>'P Index Results'!C28/10</f>
        <v>0.23599999999999999</v>
      </c>
      <c r="F29" s="34">
        <f>D29*C_factor!F27</f>
        <v>1.3137527882181352</v>
      </c>
      <c r="G29" s="35">
        <f>'P Index Results'!D28/10</f>
        <v>0.19500000000000001</v>
      </c>
      <c r="H29" s="22">
        <f t="shared" si="0"/>
        <v>0.80024553028029966</v>
      </c>
      <c r="I29" s="23">
        <f t="shared" si="1"/>
        <v>0.57743724506558691</v>
      </c>
      <c r="J29" s="22">
        <f t="shared" si="2"/>
        <v>0.79641689368026147</v>
      </c>
      <c r="K29" s="23">
        <f t="shared" si="3"/>
        <v>0.18490527793144981</v>
      </c>
      <c r="L29" s="22">
        <f t="shared" si="4"/>
        <v>0.76933449607093352</v>
      </c>
      <c r="M29" s="23">
        <f t="shared" si="5"/>
        <v>0.15278190337556236</v>
      </c>
      <c r="N29" s="13">
        <f>'Buffer Trapping Line'!V27*(1-EXP(-'Buffer Trapping Line'!W27*5.03))</f>
        <v>41.439934288216072</v>
      </c>
      <c r="O29" s="13">
        <f>'Buffer Trapping Line'!S27*(1-EXP(-'Buffer Trapping Line'!T27*5.03))</f>
        <v>21.650305961250073</v>
      </c>
      <c r="P29" s="28">
        <f t="shared" si="6"/>
        <v>0.28426170599917977</v>
      </c>
      <c r="Q29" s="29">
        <f t="shared" si="7"/>
        <v>0.35612647988419627</v>
      </c>
      <c r="R29" s="28">
        <f t="shared" si="8"/>
        <v>0.28290170493651018</v>
      </c>
      <c r="S29" s="29">
        <f t="shared" si="9"/>
        <v>0.11403778731705605</v>
      </c>
      <c r="T29" s="28">
        <f t="shared" si="10"/>
        <v>0.27328154680294442</v>
      </c>
      <c r="U29" s="29">
        <f t="shared" si="11"/>
        <v>9.4226137825533615E-2</v>
      </c>
      <c r="V29" s="10">
        <f>'Buffer Trapping Line'!V27*(1-EXP(-'Buffer Trapping Line'!W27*15.24))</f>
        <v>79.198404048786017</v>
      </c>
      <c r="W29" s="10">
        <f>'Buffer Trapping Line'!S27*(1-EXP(-'Buffer Trapping Line'!T27*15.24))</f>
        <v>51.678903679213533</v>
      </c>
      <c r="X29" s="13">
        <f t="shared" si="14"/>
        <v>0.56629243471940127</v>
      </c>
      <c r="Y29" s="13">
        <f t="shared" si="15"/>
        <v>0.15956275493441308</v>
      </c>
      <c r="Z29" s="13">
        <f t="shared" si="16"/>
        <v>0.56358310631973862</v>
      </c>
      <c r="AA29" s="13">
        <f t="shared" si="17"/>
        <v>5.1094722068550175E-2</v>
      </c>
      <c r="AB29" s="13">
        <f t="shared" si="18"/>
        <v>0.54441829214720172</v>
      </c>
      <c r="AC29" s="13">
        <f t="shared" si="19"/>
        <v>4.2218096624437651E-2</v>
      </c>
      <c r="AD29" s="10">
        <f t="shared" si="20"/>
        <v>1.0822762590005213</v>
      </c>
      <c r="AE29" s="10">
        <f t="shared" si="21"/>
        <v>0.38087352011580372</v>
      </c>
      <c r="AF29" s="10">
        <f t="shared" si="22"/>
        <v>1.07709829506349</v>
      </c>
      <c r="AG29" s="10">
        <f t="shared" si="23"/>
        <v>0.12196221268294394</v>
      </c>
      <c r="AH29" s="10">
        <f t="shared" si="24"/>
        <v>1.0404712414151909</v>
      </c>
      <c r="AI29" s="10">
        <f t="shared" si="25"/>
        <v>0.10077386217446639</v>
      </c>
      <c r="AJ29" s="53"/>
      <c r="AK29" s="53"/>
      <c r="AL29" s="6">
        <f t="shared" si="26"/>
        <v>41.439934288216072</v>
      </c>
      <c r="AM29" s="6">
        <f t="shared" si="27"/>
        <v>37.758469760569945</v>
      </c>
      <c r="AN29" s="6">
        <f t="shared" si="28"/>
        <v>79.198404048786017</v>
      </c>
      <c r="AO29" s="6">
        <f t="shared" si="29"/>
        <v>21.650305961250073</v>
      </c>
      <c r="AP29" s="6">
        <f t="shared" si="30"/>
        <v>30.028597717963461</v>
      </c>
      <c r="AQ29" s="6">
        <f t="shared" si="31"/>
        <v>51.678903679213533</v>
      </c>
      <c r="AR29" s="40">
        <f t="shared" si="32"/>
        <v>0.47843273784949902</v>
      </c>
      <c r="AS29">
        <f t="shared" si="33"/>
        <v>3.4005302780782953</v>
      </c>
      <c r="AT29">
        <f t="shared" si="34"/>
        <v>3.8626937658169824</v>
      </c>
      <c r="AU29">
        <f t="shared" si="35"/>
        <v>67.978290366350066</v>
      </c>
      <c r="AV29">
        <f t="shared" si="36"/>
        <v>17.372881355932201</v>
      </c>
      <c r="AW29">
        <f t="shared" si="37"/>
        <v>73.541383989145174</v>
      </c>
    </row>
    <row r="30" spans="1:49" x14ac:dyDescent="0.25">
      <c r="A30" s="1" t="s">
        <v>44</v>
      </c>
      <c r="B30" s="34">
        <f>D30*C_factor!E28</f>
        <v>8.1030915438612769</v>
      </c>
      <c r="C30" s="35">
        <f>'P Index Results'!B29/10</f>
        <v>1.119</v>
      </c>
      <c r="D30" s="38">
        <v>6.48</v>
      </c>
      <c r="E30" s="35">
        <f>'P Index Results'!C29/10</f>
        <v>0.63200000000000001</v>
      </c>
      <c r="F30" s="34">
        <f>D30*C_factor!F28</f>
        <v>4.5284275486096881</v>
      </c>
      <c r="G30" s="35">
        <f>'P Index Results'!D29/10</f>
        <v>0.60199999999999998</v>
      </c>
      <c r="H30" s="22">
        <f t="shared" si="0"/>
        <v>4.7451757327711706</v>
      </c>
      <c r="I30" s="23">
        <f t="shared" si="1"/>
        <v>0.87673307629361175</v>
      </c>
      <c r="J30" s="22">
        <f t="shared" si="2"/>
        <v>3.7946922581235989</v>
      </c>
      <c r="K30" s="23">
        <f t="shared" si="3"/>
        <v>0.49517006632489957</v>
      </c>
      <c r="L30" s="22">
        <f t="shared" si="4"/>
        <v>2.6518501481763592</v>
      </c>
      <c r="M30" s="23">
        <f t="shared" si="5"/>
        <v>0.47166515811327453</v>
      </c>
      <c r="N30" s="13">
        <f>'Buffer Trapping Line'!V28*(1-EXP(-'Buffer Trapping Line'!W28*5.03))</f>
        <v>41.439934288216072</v>
      </c>
      <c r="O30" s="13">
        <f>'Buffer Trapping Line'!S28*(1-EXP(-'Buffer Trapping Line'!T28*5.03))</f>
        <v>21.650305961250073</v>
      </c>
      <c r="P30" s="28">
        <f t="shared" si="6"/>
        <v>1.6855723625110099</v>
      </c>
      <c r="Q30" s="29">
        <f t="shared" si="7"/>
        <v>0.5407130678296006</v>
      </c>
      <c r="R30" s="28">
        <f t="shared" si="8"/>
        <v>1.3479434176386662</v>
      </c>
      <c r="S30" s="29">
        <f t="shared" si="9"/>
        <v>0.30538932874737046</v>
      </c>
      <c r="T30" s="28">
        <f t="shared" si="10"/>
        <v>0.94198520160525145</v>
      </c>
      <c r="U30" s="29">
        <f t="shared" si="11"/>
        <v>0.29089299985113454</v>
      </c>
      <c r="V30" s="10">
        <f>'Buffer Trapping Line'!V28*(1-EXP(-'Buffer Trapping Line'!W28*15.24))</f>
        <v>79.198404048786017</v>
      </c>
      <c r="W30" s="10">
        <f>'Buffer Trapping Line'!S28*(1-EXP(-'Buffer Trapping Line'!T28*15.24))</f>
        <v>51.678903679213533</v>
      </c>
      <c r="X30" s="13">
        <f t="shared" si="14"/>
        <v>3.3579158110901064</v>
      </c>
      <c r="Y30" s="13">
        <f t="shared" si="15"/>
        <v>0.24226692370638825</v>
      </c>
      <c r="Z30" s="13">
        <f t="shared" si="16"/>
        <v>2.6853077418764015</v>
      </c>
      <c r="AA30" s="13">
        <f t="shared" si="17"/>
        <v>0.13682993367510043</v>
      </c>
      <c r="AB30" s="13">
        <f t="shared" si="18"/>
        <v>1.8765774004333289</v>
      </c>
      <c r="AC30" s="13">
        <f t="shared" si="19"/>
        <v>0.13033484188672545</v>
      </c>
      <c r="AD30" s="10">
        <f t="shared" si="20"/>
        <v>6.4175191813502668</v>
      </c>
      <c r="AE30" s="10">
        <f t="shared" si="21"/>
        <v>0.57828693217039939</v>
      </c>
      <c r="AF30" s="10">
        <f t="shared" si="22"/>
        <v>5.1320565823613347</v>
      </c>
      <c r="AG30" s="10">
        <f t="shared" si="23"/>
        <v>0.32661067125262955</v>
      </c>
      <c r="AH30" s="10">
        <f t="shared" si="24"/>
        <v>3.5864423470044366</v>
      </c>
      <c r="AI30" s="10">
        <f t="shared" si="25"/>
        <v>0.31110700014886544</v>
      </c>
      <c r="AJ30" s="53"/>
      <c r="AK30" s="53"/>
      <c r="AL30" s="6">
        <f t="shared" si="26"/>
        <v>41.439934288216072</v>
      </c>
      <c r="AM30" s="6">
        <f t="shared" si="27"/>
        <v>37.758469760569945</v>
      </c>
      <c r="AN30" s="6">
        <f t="shared" si="28"/>
        <v>79.198404048786017</v>
      </c>
      <c r="AO30" s="6">
        <f t="shared" si="29"/>
        <v>21.650305961250073</v>
      </c>
      <c r="AP30" s="6">
        <f t="shared" si="30"/>
        <v>30.028597717963461</v>
      </c>
      <c r="AQ30" s="6">
        <f t="shared" si="31"/>
        <v>51.678903679213533</v>
      </c>
      <c r="AR30" s="40">
        <f t="shared" si="32"/>
        <v>20.030522117091152</v>
      </c>
      <c r="AS30">
        <f t="shared" si="33"/>
        <v>30.116858817751734</v>
      </c>
      <c r="AT30">
        <f t="shared" si="34"/>
        <v>44.114816868380011</v>
      </c>
      <c r="AU30">
        <f t="shared" si="35"/>
        <v>43.521000893655049</v>
      </c>
      <c r="AV30">
        <f t="shared" si="36"/>
        <v>4.7468354430379778</v>
      </c>
      <c r="AW30">
        <f t="shared" si="37"/>
        <v>46.201966041108136</v>
      </c>
    </row>
    <row r="31" spans="1:49" x14ac:dyDescent="0.25">
      <c r="A31" s="1" t="s">
        <v>80</v>
      </c>
      <c r="B31" s="34">
        <f>D31*C_factor!E29</f>
        <v>1.1921656831162284</v>
      </c>
      <c r="C31" s="35">
        <f>'P Index Results'!B30/10</f>
        <v>0.68499999999999994</v>
      </c>
      <c r="D31" s="38">
        <v>1.18</v>
      </c>
      <c r="E31" s="35">
        <f>'P Index Results'!C30/10</f>
        <v>0.23900000000000002</v>
      </c>
      <c r="F31" s="34">
        <f>D31*C_factor!F29</f>
        <v>1.1179206781790507</v>
      </c>
      <c r="G31" s="35">
        <f>'P Index Results'!D30/10</f>
        <v>0.20400000000000001</v>
      </c>
      <c r="H31" s="22">
        <f t="shared" si="0"/>
        <v>0.27489477310279686</v>
      </c>
      <c r="I31" s="23">
        <f t="shared" si="1"/>
        <v>0.40113645012571986</v>
      </c>
      <c r="J31" s="22">
        <f t="shared" si="2"/>
        <v>0.27208955672453772</v>
      </c>
      <c r="K31" s="23">
        <f t="shared" si="3"/>
        <v>0.13995855705116358</v>
      </c>
      <c r="L31" s="22">
        <f t="shared" si="4"/>
        <v>0.25777503540587499</v>
      </c>
      <c r="M31" s="23">
        <f t="shared" si="5"/>
        <v>0.11946253405203922</v>
      </c>
      <c r="N31" s="13">
        <f>'Buffer Trapping Line'!V29*(1-EXP(-'Buffer Trapping Line'!W29*5.03))</f>
        <v>76.941562989445956</v>
      </c>
      <c r="O31" s="13">
        <f>'Buffer Trapping Line'!S29*(1-EXP(-'Buffer Trapping Line'!T29*5.03))</f>
        <v>41.439934288216072</v>
      </c>
      <c r="P31" s="28">
        <f t="shared" si="6"/>
        <v>4.5477316590063224E-2</v>
      </c>
      <c r="Q31" s="29">
        <f t="shared" si="7"/>
        <v>0.14249093226581577</v>
      </c>
      <c r="R31" s="28">
        <f t="shared" si="8"/>
        <v>4.5013234600079312E-2</v>
      </c>
      <c r="S31" s="29">
        <f t="shared" si="9"/>
        <v>4.9715814323401421E-2</v>
      </c>
      <c r="T31" s="28">
        <f t="shared" si="10"/>
        <v>4.2645106568774051E-2</v>
      </c>
      <c r="U31" s="29">
        <f t="shared" si="11"/>
        <v>4.2435255740476525E-2</v>
      </c>
      <c r="V31" s="10">
        <f>'Buffer Trapping Line'!V29*(1-EXP(-'Buffer Trapping Line'!W29*15.24))</f>
        <v>96.185319101688194</v>
      </c>
      <c r="W31" s="10">
        <f>'Buffer Trapping Line'!S29*(1-EXP(-'Buffer Trapping Line'!T29*15.24))</f>
        <v>79.198404048786017</v>
      </c>
      <c r="X31" s="13">
        <f t="shared" si="14"/>
        <v>0.91727091001343153</v>
      </c>
      <c r="Y31" s="13">
        <f t="shared" si="15"/>
        <v>0.28386354987428009</v>
      </c>
      <c r="Z31" s="13">
        <f t="shared" si="16"/>
        <v>0.90791044327546222</v>
      </c>
      <c r="AA31" s="13">
        <f t="shared" si="17"/>
        <v>9.9041442948836433E-2</v>
      </c>
      <c r="AB31" s="13">
        <f t="shared" si="18"/>
        <v>0.86014564277317573</v>
      </c>
      <c r="AC31" s="13">
        <f t="shared" si="19"/>
        <v>8.4537465947960799E-2</v>
      </c>
      <c r="AD31" s="10">
        <f t="shared" si="20"/>
        <v>1.1466883665261651</v>
      </c>
      <c r="AE31" s="10">
        <f t="shared" si="21"/>
        <v>0.54250906773418417</v>
      </c>
      <c r="AF31" s="10">
        <f t="shared" si="22"/>
        <v>1.1349867653999206</v>
      </c>
      <c r="AG31" s="10">
        <f t="shared" si="23"/>
        <v>0.1892841856765986</v>
      </c>
      <c r="AH31" s="10">
        <f t="shared" si="24"/>
        <v>1.0752755716102766</v>
      </c>
      <c r="AI31" s="10">
        <f t="shared" si="25"/>
        <v>0.1615647442595235</v>
      </c>
      <c r="AJ31" s="53"/>
      <c r="AK31" s="53"/>
      <c r="AL31" s="6">
        <f t="shared" si="26"/>
        <v>76.941562989445956</v>
      </c>
      <c r="AM31" s="6">
        <f t="shared" si="27"/>
        <v>19.243756112242238</v>
      </c>
      <c r="AN31" s="6">
        <f t="shared" si="28"/>
        <v>96.185319101688194</v>
      </c>
      <c r="AO31" s="6">
        <f t="shared" si="29"/>
        <v>41.439934288216072</v>
      </c>
      <c r="AP31" s="6">
        <f t="shared" si="30"/>
        <v>37.758469760569945</v>
      </c>
      <c r="AQ31" s="6">
        <f t="shared" si="31"/>
        <v>79.198404048786017</v>
      </c>
      <c r="AR31" s="40">
        <f t="shared" si="32"/>
        <v>1.0204691586515269</v>
      </c>
      <c r="AS31">
        <f t="shared" si="33"/>
        <v>5.2609594763516343</v>
      </c>
      <c r="AT31">
        <f t="shared" si="34"/>
        <v>6.2277421660978387</v>
      </c>
      <c r="AU31">
        <f t="shared" si="35"/>
        <v>65.109489051094883</v>
      </c>
      <c r="AV31">
        <f t="shared" si="36"/>
        <v>14.644351464435147</v>
      </c>
      <c r="AW31">
        <f t="shared" si="37"/>
        <v>70.21897810218978</v>
      </c>
    </row>
    <row r="32" spans="1:49" x14ac:dyDescent="0.25">
      <c r="A32" s="1" t="s">
        <v>81</v>
      </c>
      <c r="B32" s="34">
        <f>D32*C_factor!E30</f>
        <v>7.9931399787021871</v>
      </c>
      <c r="C32" s="35">
        <f>'P Index Results'!B31/10</f>
        <v>1.115</v>
      </c>
      <c r="D32" s="38">
        <v>6.38</v>
      </c>
      <c r="E32" s="35">
        <f>'P Index Results'!C31/10</f>
        <v>0.65800000000000003</v>
      </c>
      <c r="F32" s="34">
        <f>D32*C_factor!F30</f>
        <v>4.3092485099152746</v>
      </c>
      <c r="G32" s="35">
        <f>'P Index Results'!D31/10</f>
        <v>0.63200000000000001</v>
      </c>
      <c r="H32" s="22">
        <f t="shared" si="0"/>
        <v>6.2626007174021652</v>
      </c>
      <c r="I32" s="23">
        <f t="shared" si="1"/>
        <v>0.98982110641304055</v>
      </c>
      <c r="J32" s="22">
        <f t="shared" si="2"/>
        <v>4.998710479672245</v>
      </c>
      <c r="K32" s="23">
        <f t="shared" si="3"/>
        <v>0.58412761257379442</v>
      </c>
      <c r="L32" s="22">
        <f t="shared" si="4"/>
        <v>3.3762830228880079</v>
      </c>
      <c r="M32" s="23">
        <f t="shared" si="5"/>
        <v>0.56104658228972348</v>
      </c>
      <c r="N32" s="13">
        <f>'Buffer Trapping Line'!V30*(1-EXP(-'Buffer Trapping Line'!W30*5.03))</f>
        <v>21.650305961250073</v>
      </c>
      <c r="O32" s="13">
        <f>'Buffer Trapping Line'!S30*(1-EXP(-'Buffer Trapping Line'!T30*5.03))</f>
        <v>11.226806599727302</v>
      </c>
      <c r="P32" s="28">
        <f t="shared" si="6"/>
        <v>3.8623728681639746</v>
      </c>
      <c r="Q32" s="29">
        <f t="shared" si="7"/>
        <v>0.77937156042787747</v>
      </c>
      <c r="R32" s="28">
        <f t="shared" si="8"/>
        <v>3.0828859452661765</v>
      </c>
      <c r="S32" s="29">
        <f t="shared" si="9"/>
        <v>0.45993406884443355</v>
      </c>
      <c r="T32" s="28">
        <f t="shared" si="10"/>
        <v>2.0822761231782154</v>
      </c>
      <c r="U32" s="29">
        <f t="shared" si="11"/>
        <v>0.44176038223355923</v>
      </c>
      <c r="V32" s="10">
        <f>'Buffer Trapping Line'!V30*(1-EXP(-'Buffer Trapping Line'!W30*15.24))</f>
        <v>51.678903679213533</v>
      </c>
      <c r="W32" s="10">
        <f>'Buffer Trapping Line'!S30*(1-EXP(-'Buffer Trapping Line'!T30*15.24))</f>
        <v>30.101205342791257</v>
      </c>
      <c r="X32" s="13">
        <f t="shared" si="14"/>
        <v>1.7305392613000219</v>
      </c>
      <c r="Y32" s="13">
        <f t="shared" si="15"/>
        <v>0.12517889358695944</v>
      </c>
      <c r="Z32" s="13">
        <f t="shared" si="16"/>
        <v>1.3812895203277549</v>
      </c>
      <c r="AA32" s="13">
        <f t="shared" si="17"/>
        <v>7.387238742620561E-2</v>
      </c>
      <c r="AB32" s="13">
        <f t="shared" si="18"/>
        <v>0.93296548702726678</v>
      </c>
      <c r="AC32" s="13">
        <f t="shared" si="19"/>
        <v>7.0953417710276523E-2</v>
      </c>
      <c r="AD32" s="10">
        <f t="shared" si="20"/>
        <v>4.130767110538212</v>
      </c>
      <c r="AE32" s="10">
        <f t="shared" si="21"/>
        <v>0.33562843957212252</v>
      </c>
      <c r="AF32" s="10">
        <f t="shared" si="22"/>
        <v>3.2971140547338234</v>
      </c>
      <c r="AG32" s="10">
        <f t="shared" si="23"/>
        <v>0.19806593115556648</v>
      </c>
      <c r="AH32" s="10">
        <f t="shared" si="24"/>
        <v>2.2269723867370592</v>
      </c>
      <c r="AI32" s="10">
        <f t="shared" si="25"/>
        <v>0.19023961776644077</v>
      </c>
      <c r="AJ32" s="53"/>
      <c r="AK32" s="53"/>
      <c r="AL32" s="6">
        <f t="shared" si="26"/>
        <v>21.650305961250073</v>
      </c>
      <c r="AM32" s="6">
        <f t="shared" si="27"/>
        <v>30.028597717963461</v>
      </c>
      <c r="AN32" s="6">
        <f t="shared" si="28"/>
        <v>51.678903679213533</v>
      </c>
      <c r="AO32" s="6">
        <f t="shared" si="29"/>
        <v>11.226806599727302</v>
      </c>
      <c r="AP32" s="6">
        <f t="shared" si="30"/>
        <v>18.874398743063956</v>
      </c>
      <c r="AQ32" s="6">
        <f t="shared" si="31"/>
        <v>30.101205342791257</v>
      </c>
      <c r="AR32" s="40">
        <f t="shared" si="32"/>
        <v>20.181555471321879</v>
      </c>
      <c r="AS32">
        <f t="shared" si="33"/>
        <v>32.456919907284096</v>
      </c>
      <c r="AT32">
        <f t="shared" si="34"/>
        <v>46.088164083234915</v>
      </c>
      <c r="AU32">
        <f t="shared" si="35"/>
        <v>40.986547085201785</v>
      </c>
      <c r="AV32">
        <f t="shared" si="36"/>
        <v>3.9513677811550241</v>
      </c>
      <c r="AW32">
        <f t="shared" si="37"/>
        <v>43.318385650224215</v>
      </c>
    </row>
    <row r="33" spans="1:49" x14ac:dyDescent="0.25">
      <c r="A33" s="1" t="s">
        <v>82</v>
      </c>
      <c r="B33" s="36">
        <f>D33*C_factor!E31</f>
        <v>5.4466617098251344</v>
      </c>
      <c r="C33" s="37">
        <f>'P Index Results'!B32/10</f>
        <v>0.95099999999999996</v>
      </c>
      <c r="D33" s="39">
        <v>4.58</v>
      </c>
      <c r="E33" s="37">
        <f>'P Index Results'!C32/10</f>
        <v>0.51800000000000002</v>
      </c>
      <c r="F33" s="36">
        <f>D33*C_factor!F31</f>
        <v>2.934706184963682</v>
      </c>
      <c r="G33" s="37">
        <f>'P Index Results'!D32/10</f>
        <v>0.496</v>
      </c>
      <c r="H33" s="24">
        <f t="shared" si="0"/>
        <v>3.1895686763721729</v>
      </c>
      <c r="I33" s="25">
        <f t="shared" si="1"/>
        <v>0.74510559030851176</v>
      </c>
      <c r="J33" s="24">
        <f t="shared" si="2"/>
        <v>2.6820510095997037</v>
      </c>
      <c r="K33" s="25">
        <f t="shared" si="3"/>
        <v>0.40585141512072465</v>
      </c>
      <c r="L33" s="24">
        <f t="shared" si="4"/>
        <v>1.7185658703625193</v>
      </c>
      <c r="M33" s="25">
        <f t="shared" si="5"/>
        <v>0.38861448243219965</v>
      </c>
      <c r="N33" s="13">
        <f>'Buffer Trapping Line'!V31*(1-EXP(-'Buffer Trapping Line'!W31*5.03))</f>
        <v>41.439934288216072</v>
      </c>
      <c r="O33" s="13">
        <f>'Buffer Trapping Line'!S31*(1-EXP(-'Buffer Trapping Line'!T31*5.03))</f>
        <v>21.650305961250073</v>
      </c>
      <c r="P33" s="30">
        <f t="shared" si="6"/>
        <v>1.1329925617073076</v>
      </c>
      <c r="Q33" s="31">
        <f t="shared" si="7"/>
        <v>0.45953362601067926</v>
      </c>
      <c r="R33" s="30">
        <f t="shared" si="8"/>
        <v>0.95271309456560049</v>
      </c>
      <c r="S33" s="31">
        <f t="shared" si="9"/>
        <v>0.25030327894167392</v>
      </c>
      <c r="T33" s="30">
        <f t="shared" si="10"/>
        <v>0.61046572295143164</v>
      </c>
      <c r="U33" s="31">
        <f t="shared" si="11"/>
        <v>0.23967263775110087</v>
      </c>
      <c r="V33" s="10">
        <f>'Buffer Trapping Line'!V31*(1-EXP(-'Buffer Trapping Line'!W31*15.24))</f>
        <v>79.198404048786017</v>
      </c>
      <c r="W33" s="10">
        <f>'Buffer Trapping Line'!S31*(1-EXP(-'Buffer Trapping Line'!T31*15.24))</f>
        <v>51.678903679213533</v>
      </c>
      <c r="X33" s="13">
        <f t="shared" si="14"/>
        <v>2.2570930334529615</v>
      </c>
      <c r="Y33" s="13">
        <f t="shared" si="15"/>
        <v>0.2058944096914882</v>
      </c>
      <c r="Z33" s="13">
        <f t="shared" si="16"/>
        <v>1.8979489904002964</v>
      </c>
      <c r="AA33" s="13">
        <f t="shared" si="17"/>
        <v>0.11214858487927537</v>
      </c>
      <c r="AB33" s="13">
        <f t="shared" si="18"/>
        <v>1.2161403146011627</v>
      </c>
      <c r="AC33" s="13">
        <f t="shared" si="19"/>
        <v>0.10738551756780035</v>
      </c>
      <c r="AD33" s="10">
        <f t="shared" si="20"/>
        <v>4.3136691481178264</v>
      </c>
      <c r="AE33" s="10">
        <f t="shared" si="21"/>
        <v>0.49146637398932069</v>
      </c>
      <c r="AF33" s="10">
        <f t="shared" si="22"/>
        <v>3.6272869054343997</v>
      </c>
      <c r="AG33" s="10">
        <f t="shared" si="23"/>
        <v>0.26769672105832609</v>
      </c>
      <c r="AH33" s="10">
        <f t="shared" si="24"/>
        <v>2.3242404620122503</v>
      </c>
      <c r="AI33" s="10">
        <f t="shared" si="25"/>
        <v>0.25632736224889913</v>
      </c>
      <c r="AJ33" s="53"/>
      <c r="AK33" s="53"/>
      <c r="AL33" s="6">
        <f t="shared" si="26"/>
        <v>41.439934288216072</v>
      </c>
      <c r="AM33" s="6">
        <f t="shared" si="27"/>
        <v>37.758469760569945</v>
      </c>
      <c r="AN33" s="6">
        <f t="shared" si="28"/>
        <v>79.198404048786017</v>
      </c>
      <c r="AO33" s="6">
        <f t="shared" si="29"/>
        <v>21.650305961250073</v>
      </c>
      <c r="AP33" s="6">
        <f t="shared" si="30"/>
        <v>30.028597717963461</v>
      </c>
      <c r="AQ33" s="6">
        <f t="shared" si="31"/>
        <v>51.678903679213533</v>
      </c>
      <c r="AR33" s="40">
        <f t="shared" si="32"/>
        <v>15.911796178965531</v>
      </c>
      <c r="AS33">
        <f t="shared" si="33"/>
        <v>35.923445743151049</v>
      </c>
      <c r="AT33">
        <f t="shared" si="34"/>
        <v>46.119176455005118</v>
      </c>
      <c r="AU33">
        <f t="shared" si="35"/>
        <v>45.531019978969503</v>
      </c>
      <c r="AV33">
        <f t="shared" si="36"/>
        <v>4.2471042471042502</v>
      </c>
      <c r="AW33">
        <f t="shared" si="37"/>
        <v>47.84437434279706</v>
      </c>
    </row>
    <row r="34" spans="1:49" s="16" customFormat="1" ht="15.75" x14ac:dyDescent="0.25">
      <c r="A34" s="14"/>
      <c r="B34" s="14"/>
      <c r="C34" s="14"/>
      <c r="D34" s="14"/>
      <c r="E34" s="14"/>
      <c r="F34" s="14"/>
      <c r="G34" s="14"/>
      <c r="H34" s="15"/>
      <c r="I34" s="15"/>
      <c r="J34" s="15"/>
      <c r="K34" s="15"/>
      <c r="L34" s="15"/>
      <c r="M34" s="15"/>
      <c r="N34" s="15">
        <f>AVERAGE(N4:N33)</f>
        <v>37.020065007534235</v>
      </c>
      <c r="O34" s="15">
        <f>AVERAGE(O4:O33)</f>
        <v>23.024916801212211</v>
      </c>
      <c r="P34" s="15"/>
      <c r="Q34" s="15"/>
      <c r="R34" s="15"/>
      <c r="S34" s="15"/>
      <c r="T34" s="15"/>
      <c r="U34" s="15"/>
      <c r="V34" s="15">
        <f>AVERAGE(V4:V33)</f>
        <v>58.232193374807665</v>
      </c>
      <c r="W34" s="15">
        <f>AVERAGE(W4:W33)</f>
        <v>42.719141380411749</v>
      </c>
      <c r="X34" s="15"/>
      <c r="Y34" s="15"/>
      <c r="Z34" s="15"/>
      <c r="AA34" s="15"/>
      <c r="AB34" s="15"/>
      <c r="AC34" s="15"/>
      <c r="AD34" s="15"/>
      <c r="AE34" s="15"/>
      <c r="AF34" s="15"/>
      <c r="AG34" s="15"/>
      <c r="AH34" s="15"/>
      <c r="AI34" s="15"/>
      <c r="AJ34" s="15"/>
      <c r="AK34" s="15"/>
    </row>
  </sheetData>
  <sheetProtection password="C2EC" sheet="1" objects="1" scenarios="1" selectLockedCells="1" selectUnlockedCells="1"/>
  <mergeCells count="28">
    <mergeCell ref="AD1:AI1"/>
    <mergeCell ref="AD2:AE2"/>
    <mergeCell ref="AF2:AG2"/>
    <mergeCell ref="AH2:AI2"/>
    <mergeCell ref="X2:Y2"/>
    <mergeCell ref="Z2:AA2"/>
    <mergeCell ref="AB2:AC2"/>
    <mergeCell ref="X1:AC1"/>
    <mergeCell ref="AU2:AW2"/>
    <mergeCell ref="AR1:AW1"/>
    <mergeCell ref="AL1:AQ1"/>
    <mergeCell ref="AL2:AN2"/>
    <mergeCell ref="AO2:AQ2"/>
    <mergeCell ref="AR2:AT2"/>
    <mergeCell ref="B1:G1"/>
    <mergeCell ref="B2:C2"/>
    <mergeCell ref="D2:E2"/>
    <mergeCell ref="F2:G2"/>
    <mergeCell ref="H1:O1"/>
    <mergeCell ref="H2:I2"/>
    <mergeCell ref="T2:U2"/>
    <mergeCell ref="V2:W2"/>
    <mergeCell ref="J2:K2"/>
    <mergeCell ref="P1:W1"/>
    <mergeCell ref="P2:Q2"/>
    <mergeCell ref="R2:S2"/>
    <mergeCell ref="L2:M2"/>
    <mergeCell ref="N2:O2"/>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2" tint="-0.89999084444715716"/>
  </sheetPr>
  <dimension ref="A1:AC31"/>
  <sheetViews>
    <sheetView zoomScale="85" zoomScaleNormal="85" workbookViewId="0">
      <selection activeCell="Z41" sqref="Z41"/>
    </sheetView>
  </sheetViews>
  <sheetFormatPr defaultRowHeight="15" x14ac:dyDescent="0.25"/>
  <cols>
    <col min="1" max="1" width="29" bestFit="1" customWidth="1"/>
    <col min="2" max="2" width="11.85546875" bestFit="1" customWidth="1"/>
    <col min="3" max="3" width="13.85546875" bestFit="1" customWidth="1"/>
    <col min="5" max="5" width="17" style="1" customWidth="1"/>
    <col min="6" max="6" width="15.42578125" style="1" customWidth="1"/>
    <col min="7" max="7" width="11.28515625" style="1" customWidth="1"/>
    <col min="8" max="8" width="13.85546875" style="1" customWidth="1"/>
    <col min="9" max="9" width="9.85546875" style="1" bestFit="1" customWidth="1"/>
    <col min="10" max="10" width="11.85546875" style="1" customWidth="1"/>
    <col min="11" max="11" width="10" style="1" bestFit="1" customWidth="1"/>
    <col min="12" max="12" width="11.28515625" style="1" customWidth="1"/>
    <col min="13" max="13" width="12.42578125" style="1" bestFit="1" customWidth="1"/>
    <col min="14" max="14" width="13.5703125" style="1" customWidth="1"/>
    <col min="15" max="15" width="13.140625" style="1" bestFit="1" customWidth="1"/>
    <col min="16" max="16" width="12.5703125" style="1" customWidth="1"/>
    <col min="17" max="17" width="14.7109375" style="1" customWidth="1"/>
    <col min="18" max="21" width="12.28515625" style="1" customWidth="1"/>
    <col min="22" max="22" width="13.28515625" customWidth="1"/>
    <col min="23" max="23" width="13.140625" customWidth="1"/>
    <col min="24" max="26" width="12.140625" customWidth="1"/>
    <col min="27" max="27" width="16.42578125" customWidth="1"/>
    <col min="28" max="29" width="15.140625" customWidth="1"/>
  </cols>
  <sheetData>
    <row r="1" spans="1:29" s="1" customFormat="1" ht="49.5" customHeight="1" x14ac:dyDescent="0.25">
      <c r="A1" s="1" t="s">
        <v>48</v>
      </c>
      <c r="B1" s="1" t="s">
        <v>49</v>
      </c>
      <c r="C1" s="1" t="s">
        <v>50</v>
      </c>
      <c r="D1" s="1" t="s">
        <v>51</v>
      </c>
      <c r="E1" s="7" t="s">
        <v>229</v>
      </c>
      <c r="F1" s="7" t="s">
        <v>52</v>
      </c>
      <c r="G1" s="7" t="s">
        <v>61</v>
      </c>
      <c r="H1" s="7" t="s">
        <v>53</v>
      </c>
      <c r="I1" s="7" t="s">
        <v>62</v>
      </c>
      <c r="J1" s="7" t="s">
        <v>54</v>
      </c>
      <c r="K1" s="7" t="s">
        <v>63</v>
      </c>
      <c r="L1" s="7" t="s">
        <v>55</v>
      </c>
      <c r="M1" s="7" t="s">
        <v>64</v>
      </c>
      <c r="N1" s="7" t="s">
        <v>56</v>
      </c>
      <c r="O1" s="7" t="s">
        <v>65</v>
      </c>
      <c r="P1" s="7" t="s">
        <v>66</v>
      </c>
      <c r="Q1" s="7" t="s">
        <v>67</v>
      </c>
      <c r="R1" s="7" t="s">
        <v>59</v>
      </c>
      <c r="S1" s="7" t="s">
        <v>113</v>
      </c>
      <c r="T1" s="7" t="s">
        <v>114</v>
      </c>
      <c r="U1" s="7" t="s">
        <v>60</v>
      </c>
      <c r="V1" s="7" t="s">
        <v>115</v>
      </c>
      <c r="W1" s="7" t="s">
        <v>116</v>
      </c>
      <c r="X1" s="48" t="s">
        <v>176</v>
      </c>
      <c r="Y1" s="48" t="s">
        <v>178</v>
      </c>
      <c r="Z1" s="48" t="s">
        <v>179</v>
      </c>
      <c r="AA1" s="48" t="s">
        <v>177</v>
      </c>
      <c r="AB1" s="48" t="s">
        <v>180</v>
      </c>
      <c r="AC1" s="48" t="s">
        <v>181</v>
      </c>
    </row>
    <row r="2" spans="1:29" x14ac:dyDescent="0.25">
      <c r="A2" t="s">
        <v>87</v>
      </c>
      <c r="B2">
        <v>763.56016099999999</v>
      </c>
      <c r="C2">
        <v>7.8625910000000001</v>
      </c>
      <c r="D2">
        <v>9.8284324819201005E-2</v>
      </c>
      <c r="E2" s="1">
        <v>2</v>
      </c>
      <c r="F2" s="57">
        <v>2</v>
      </c>
      <c r="G2" s="1">
        <v>600</v>
      </c>
      <c r="H2" s="1">
        <v>0</v>
      </c>
      <c r="I2" s="1">
        <v>10</v>
      </c>
      <c r="J2" s="1">
        <v>1</v>
      </c>
      <c r="K2" s="1">
        <v>0.5</v>
      </c>
      <c r="L2" s="1">
        <v>1</v>
      </c>
      <c r="M2" s="1">
        <v>3</v>
      </c>
      <c r="N2" s="1">
        <f>M2-E2</f>
        <v>1</v>
      </c>
      <c r="O2" s="1">
        <v>3</v>
      </c>
      <c r="P2" s="1">
        <v>-1</v>
      </c>
      <c r="Q2" s="1">
        <v>0</v>
      </c>
      <c r="R2" s="1">
        <f>IF(SUM(F2+H2+J2+L2+N2+P2)&lt;1,1,SUM(F2+H2+J2+L2+N2+P2))</f>
        <v>4</v>
      </c>
      <c r="S2" s="1">
        <v>95.52</v>
      </c>
      <c r="T2" s="1">
        <v>5.11E-2</v>
      </c>
      <c r="U2" s="1">
        <f>IF(SUM(F2+H2+J2+L2+N2+Q2)&lt;1, 1, SUM(F2+H2+J2+L2+N2+Q2))</f>
        <v>5</v>
      </c>
      <c r="V2" s="1">
        <v>97.318399999999997</v>
      </c>
      <c r="W2" s="1">
        <v>0.1103</v>
      </c>
      <c r="X2">
        <f>R2+1</f>
        <v>5</v>
      </c>
      <c r="Y2">
        <v>97.318399999999997</v>
      </c>
      <c r="Z2">
        <v>0.1103</v>
      </c>
      <c r="AA2">
        <f>U2+1</f>
        <v>6</v>
      </c>
      <c r="AB2">
        <v>97.004099999999994</v>
      </c>
      <c r="AC2">
        <v>0.31330000000000002</v>
      </c>
    </row>
    <row r="3" spans="1:29" x14ac:dyDescent="0.25">
      <c r="A3" t="s">
        <v>19</v>
      </c>
      <c r="B3">
        <v>709.93924400000003</v>
      </c>
      <c r="C3">
        <v>5.3143849999999997</v>
      </c>
      <c r="D3">
        <v>0.11269956924464498</v>
      </c>
      <c r="E3" s="1">
        <v>2</v>
      </c>
      <c r="F3" s="57">
        <v>6</v>
      </c>
      <c r="G3" s="1">
        <v>600</v>
      </c>
      <c r="H3" s="1">
        <v>0</v>
      </c>
      <c r="I3" s="1">
        <v>2</v>
      </c>
      <c r="J3" s="1">
        <v>-1</v>
      </c>
      <c r="K3" s="1">
        <v>0.15</v>
      </c>
      <c r="L3" s="1">
        <v>0</v>
      </c>
      <c r="M3" s="1">
        <v>3</v>
      </c>
      <c r="N3" s="1">
        <f t="shared" ref="N3:N31" si="0">M3-E3</f>
        <v>1</v>
      </c>
      <c r="O3" s="1">
        <v>3</v>
      </c>
      <c r="P3" s="1">
        <v>-1</v>
      </c>
      <c r="Q3" s="1">
        <v>0</v>
      </c>
      <c r="R3" s="1">
        <f t="shared" ref="R3:R31" si="1">IF(SUM(F3+H3+J3+L3+N3+P3)&lt;1,1,SUM(F3+H3+J3+L3+N3+P3))</f>
        <v>5</v>
      </c>
      <c r="S3" s="1">
        <v>97.318399999999997</v>
      </c>
      <c r="T3" s="1">
        <v>0.1103</v>
      </c>
      <c r="U3" s="1">
        <f t="shared" ref="U3:U31" si="2">IF(SUM(F3+H3+J3+L3+N3+Q3)&lt;1, 1, SUM(F3+H3+J3+L3+N3+Q3))</f>
        <v>6</v>
      </c>
      <c r="V3" s="1">
        <v>97.004099999999994</v>
      </c>
      <c r="W3" s="1">
        <v>0.31330000000000002</v>
      </c>
      <c r="X3">
        <f t="shared" ref="X3:X31" si="3">R3+1</f>
        <v>6</v>
      </c>
      <c r="Y3">
        <v>97.004099999999994</v>
      </c>
      <c r="Z3">
        <v>0.31330000000000002</v>
      </c>
      <c r="AA3">
        <f t="shared" ref="AA3:AA31" si="4">U3+1</f>
        <v>7</v>
      </c>
      <c r="AB3">
        <v>100</v>
      </c>
      <c r="AC3">
        <v>10000000000</v>
      </c>
    </row>
    <row r="4" spans="1:29" x14ac:dyDescent="0.25">
      <c r="A4" t="s">
        <v>20</v>
      </c>
      <c r="B4">
        <v>697.66628600000001</v>
      </c>
      <c r="C4">
        <v>47.726010000000002</v>
      </c>
      <c r="D4">
        <v>0.11900128127726343</v>
      </c>
      <c r="E4" s="1">
        <v>2</v>
      </c>
      <c r="F4" s="57">
        <v>2</v>
      </c>
      <c r="G4" s="1">
        <v>600</v>
      </c>
      <c r="H4" s="1">
        <v>0</v>
      </c>
      <c r="I4" s="1">
        <v>10</v>
      </c>
      <c r="J4" s="1">
        <v>-15</v>
      </c>
      <c r="K4" s="1">
        <v>0.5</v>
      </c>
      <c r="L4" s="1">
        <v>1</v>
      </c>
      <c r="M4" s="1">
        <v>3</v>
      </c>
      <c r="N4" s="1">
        <f t="shared" si="0"/>
        <v>1</v>
      </c>
      <c r="O4" s="1">
        <v>3</v>
      </c>
      <c r="P4" s="1">
        <v>-1</v>
      </c>
      <c r="Q4" s="1">
        <v>0</v>
      </c>
      <c r="R4" s="1">
        <f t="shared" si="1"/>
        <v>1</v>
      </c>
      <c r="S4" s="1">
        <v>22.9239</v>
      </c>
      <c r="T4" s="1">
        <v>1.24E-2</v>
      </c>
      <c r="U4" s="1">
        <f t="shared" si="2"/>
        <v>1</v>
      </c>
      <c r="V4" s="1">
        <v>22.9239</v>
      </c>
      <c r="W4" s="1">
        <v>1.24E-2</v>
      </c>
      <c r="X4">
        <f t="shared" si="3"/>
        <v>2</v>
      </c>
      <c r="Y4">
        <v>22.9239</v>
      </c>
      <c r="Z4">
        <v>1.24E-2</v>
      </c>
      <c r="AA4">
        <f t="shared" si="4"/>
        <v>2</v>
      </c>
      <c r="AB4">
        <v>41.854300000000002</v>
      </c>
      <c r="AC4">
        <v>3.6200000000000003E-2</v>
      </c>
    </row>
    <row r="5" spans="1:29" x14ac:dyDescent="0.25">
      <c r="A5" t="s">
        <v>21</v>
      </c>
      <c r="B5">
        <v>695.33461299999999</v>
      </c>
      <c r="C5">
        <v>6.5577319999999997</v>
      </c>
      <c r="D5">
        <v>0.11496840077573459</v>
      </c>
      <c r="E5" s="1">
        <v>2</v>
      </c>
      <c r="F5" s="57">
        <v>6</v>
      </c>
      <c r="G5" s="1">
        <v>600</v>
      </c>
      <c r="H5" s="1">
        <v>0</v>
      </c>
      <c r="I5" s="1">
        <v>2</v>
      </c>
      <c r="J5" s="1">
        <v>-2</v>
      </c>
      <c r="K5" s="1">
        <v>0.15</v>
      </c>
      <c r="L5" s="1">
        <v>0</v>
      </c>
      <c r="M5" s="1">
        <v>3</v>
      </c>
      <c r="N5" s="1">
        <f t="shared" si="0"/>
        <v>1</v>
      </c>
      <c r="O5" s="1">
        <v>3</v>
      </c>
      <c r="P5" s="1">
        <v>-1</v>
      </c>
      <c r="Q5" s="1">
        <v>0</v>
      </c>
      <c r="R5" s="1">
        <f t="shared" si="1"/>
        <v>4</v>
      </c>
      <c r="S5" s="1">
        <v>95.52</v>
      </c>
      <c r="T5" s="1">
        <v>5.11E-2</v>
      </c>
      <c r="U5" s="1">
        <f t="shared" si="2"/>
        <v>5</v>
      </c>
      <c r="V5" s="1">
        <v>97.318399999999997</v>
      </c>
      <c r="W5" s="1">
        <v>0.1103</v>
      </c>
      <c r="X5">
        <f t="shared" si="3"/>
        <v>5</v>
      </c>
      <c r="Y5">
        <v>97.318399999999997</v>
      </c>
      <c r="Z5">
        <v>0.1103</v>
      </c>
      <c r="AA5">
        <f t="shared" si="4"/>
        <v>6</v>
      </c>
      <c r="AB5">
        <v>97.004099999999994</v>
      </c>
      <c r="AC5">
        <v>0.31330000000000002</v>
      </c>
    </row>
    <row r="6" spans="1:29" x14ac:dyDescent="0.25">
      <c r="A6" t="s">
        <v>22</v>
      </c>
      <c r="B6">
        <v>936.40640900000005</v>
      </c>
      <c r="C6">
        <v>7.3686220000000002</v>
      </c>
      <c r="D6">
        <v>0.1506498144347278</v>
      </c>
      <c r="E6" s="1">
        <v>3</v>
      </c>
      <c r="F6" s="57">
        <v>4</v>
      </c>
      <c r="G6" s="1">
        <v>1200</v>
      </c>
      <c r="H6" s="1">
        <v>0</v>
      </c>
      <c r="I6" s="1">
        <v>2</v>
      </c>
      <c r="J6" s="1">
        <v>-2</v>
      </c>
      <c r="K6" s="1">
        <v>0.5</v>
      </c>
      <c r="L6" s="1">
        <v>1</v>
      </c>
      <c r="M6" s="1">
        <v>3</v>
      </c>
      <c r="N6" s="1">
        <f t="shared" si="0"/>
        <v>0</v>
      </c>
      <c r="O6" s="1">
        <v>3</v>
      </c>
      <c r="P6" s="1">
        <v>-1</v>
      </c>
      <c r="Q6" s="1">
        <v>0</v>
      </c>
      <c r="R6" s="1">
        <f t="shared" si="1"/>
        <v>2</v>
      </c>
      <c r="S6" s="1">
        <v>41.854300000000002</v>
      </c>
      <c r="T6" s="1">
        <v>3.6200000000000003E-2</v>
      </c>
      <c r="U6" s="1">
        <f t="shared" si="2"/>
        <v>3</v>
      </c>
      <c r="V6" s="1">
        <v>95.009799999999998</v>
      </c>
      <c r="W6" s="1">
        <v>2.5000000000000001E-2</v>
      </c>
      <c r="X6">
        <f t="shared" si="3"/>
        <v>3</v>
      </c>
      <c r="Y6">
        <v>95.009799999999998</v>
      </c>
      <c r="Z6">
        <v>2.5000000000000001E-2</v>
      </c>
      <c r="AA6">
        <f t="shared" si="4"/>
        <v>4</v>
      </c>
      <c r="AB6">
        <v>95.52</v>
      </c>
      <c r="AC6">
        <v>5.11E-2</v>
      </c>
    </row>
    <row r="7" spans="1:29" x14ac:dyDescent="0.25">
      <c r="A7" t="s">
        <v>23</v>
      </c>
      <c r="B7">
        <v>722.30845699999998</v>
      </c>
      <c r="C7">
        <v>5.8484090000000002</v>
      </c>
      <c r="D7">
        <v>8.1176077676095207E-2</v>
      </c>
      <c r="E7" s="1">
        <v>1</v>
      </c>
      <c r="F7" s="57">
        <v>7</v>
      </c>
      <c r="G7" s="1">
        <v>600</v>
      </c>
      <c r="H7" s="1">
        <v>0</v>
      </c>
      <c r="I7" s="1">
        <v>2</v>
      </c>
      <c r="J7" s="1">
        <v>-2</v>
      </c>
      <c r="K7" s="1">
        <v>0.5</v>
      </c>
      <c r="L7" s="1">
        <v>1</v>
      </c>
      <c r="M7" s="1">
        <v>2</v>
      </c>
      <c r="N7" s="1">
        <f t="shared" si="0"/>
        <v>1</v>
      </c>
      <c r="O7" s="1">
        <v>3</v>
      </c>
      <c r="P7" s="1">
        <v>-1</v>
      </c>
      <c r="Q7" s="1">
        <v>0</v>
      </c>
      <c r="R7" s="1">
        <f t="shared" si="1"/>
        <v>6</v>
      </c>
      <c r="S7" s="1">
        <v>97.004099999999994</v>
      </c>
      <c r="T7" s="1">
        <v>0.31330000000000002</v>
      </c>
      <c r="U7" s="47">
        <f t="shared" si="2"/>
        <v>7</v>
      </c>
      <c r="V7" s="1">
        <v>100</v>
      </c>
      <c r="W7" s="1">
        <v>10000000000</v>
      </c>
      <c r="X7">
        <f t="shared" si="3"/>
        <v>7</v>
      </c>
      <c r="Y7">
        <v>100</v>
      </c>
      <c r="Z7">
        <v>10000000000</v>
      </c>
      <c r="AA7">
        <f t="shared" si="4"/>
        <v>8</v>
      </c>
      <c r="AB7">
        <v>100</v>
      </c>
      <c r="AC7">
        <v>10000000000</v>
      </c>
    </row>
    <row r="8" spans="1:29" x14ac:dyDescent="0.25">
      <c r="A8" t="s">
        <v>88</v>
      </c>
      <c r="B8">
        <v>945.41613500000005</v>
      </c>
      <c r="C8">
        <v>4.8836740000000001</v>
      </c>
      <c r="D8">
        <v>0.16064032824919877</v>
      </c>
      <c r="E8" s="1">
        <v>3</v>
      </c>
      <c r="F8" s="57">
        <v>4</v>
      </c>
      <c r="G8" s="1">
        <v>1200</v>
      </c>
      <c r="H8" s="1">
        <v>0</v>
      </c>
      <c r="I8" s="1">
        <v>2</v>
      </c>
      <c r="J8" s="1">
        <v>-1</v>
      </c>
      <c r="K8" s="1">
        <v>0.5</v>
      </c>
      <c r="L8" s="1">
        <v>1</v>
      </c>
      <c r="M8" s="1">
        <v>3</v>
      </c>
      <c r="N8" s="1">
        <f t="shared" si="0"/>
        <v>0</v>
      </c>
      <c r="O8" s="1">
        <v>3</v>
      </c>
      <c r="P8" s="1">
        <v>-1</v>
      </c>
      <c r="Q8" s="1">
        <v>0</v>
      </c>
      <c r="R8" s="1">
        <f t="shared" si="1"/>
        <v>3</v>
      </c>
      <c r="S8" s="1">
        <v>95.009799999999998</v>
      </c>
      <c r="T8" s="1">
        <v>2.5000000000000001E-2</v>
      </c>
      <c r="U8" s="47">
        <f t="shared" si="2"/>
        <v>4</v>
      </c>
      <c r="V8" s="1">
        <v>95.52</v>
      </c>
      <c r="W8" s="1">
        <v>5.11E-2</v>
      </c>
      <c r="X8">
        <f t="shared" si="3"/>
        <v>4</v>
      </c>
      <c r="Y8">
        <v>95.52</v>
      </c>
      <c r="Z8">
        <v>5.11E-2</v>
      </c>
      <c r="AA8">
        <f t="shared" si="4"/>
        <v>5</v>
      </c>
      <c r="AB8">
        <v>97.318399999999997</v>
      </c>
      <c r="AC8">
        <v>0.1103</v>
      </c>
    </row>
    <row r="9" spans="1:29" x14ac:dyDescent="0.25">
      <c r="A9" t="s">
        <v>89</v>
      </c>
      <c r="B9">
        <v>980.30376699999999</v>
      </c>
      <c r="C9">
        <v>4.2831910000000004</v>
      </c>
      <c r="D9">
        <v>0.18029062434236398</v>
      </c>
      <c r="E9" s="1">
        <v>3</v>
      </c>
      <c r="F9" s="57">
        <v>4</v>
      </c>
      <c r="G9" s="1">
        <v>1200</v>
      </c>
      <c r="H9" s="1">
        <v>0</v>
      </c>
      <c r="I9" s="1">
        <v>2</v>
      </c>
      <c r="J9" s="1">
        <v>-1</v>
      </c>
      <c r="K9" s="1">
        <v>0.5</v>
      </c>
      <c r="L9" s="1">
        <v>1</v>
      </c>
      <c r="M9" s="1">
        <v>3</v>
      </c>
      <c r="N9" s="1">
        <f t="shared" si="0"/>
        <v>0</v>
      </c>
      <c r="O9" s="1">
        <v>3</v>
      </c>
      <c r="P9" s="1">
        <v>-1</v>
      </c>
      <c r="Q9" s="1">
        <v>0</v>
      </c>
      <c r="R9" s="1">
        <f t="shared" si="1"/>
        <v>3</v>
      </c>
      <c r="S9" s="1">
        <v>95.009799999999998</v>
      </c>
      <c r="T9" s="1">
        <v>2.5000000000000001E-2</v>
      </c>
      <c r="U9" s="47">
        <f t="shared" si="2"/>
        <v>4</v>
      </c>
      <c r="V9" s="1">
        <v>95.52</v>
      </c>
      <c r="W9" s="1">
        <v>5.11E-2</v>
      </c>
      <c r="X9">
        <f t="shared" si="3"/>
        <v>4</v>
      </c>
      <c r="Y9">
        <v>95.52</v>
      </c>
      <c r="Z9">
        <v>5.11E-2</v>
      </c>
      <c r="AA9">
        <f t="shared" si="4"/>
        <v>5</v>
      </c>
      <c r="AB9">
        <v>97.318399999999997</v>
      </c>
      <c r="AC9">
        <v>0.1103</v>
      </c>
    </row>
    <row r="10" spans="1:29" x14ac:dyDescent="0.25">
      <c r="A10" t="s">
        <v>26</v>
      </c>
      <c r="B10">
        <v>925.29051900000002</v>
      </c>
      <c r="C10">
        <v>6.0991479999999996</v>
      </c>
      <c r="D10">
        <v>0.14415967175862368</v>
      </c>
      <c r="E10" s="1">
        <v>3</v>
      </c>
      <c r="F10" s="57">
        <v>4</v>
      </c>
      <c r="G10" s="1">
        <v>1200</v>
      </c>
      <c r="H10" s="1">
        <v>0</v>
      </c>
      <c r="I10" s="1">
        <v>2</v>
      </c>
      <c r="J10" s="1">
        <v>-2</v>
      </c>
      <c r="K10" s="1">
        <v>0.5</v>
      </c>
      <c r="L10" s="1">
        <v>1</v>
      </c>
      <c r="M10" s="1">
        <v>3</v>
      </c>
      <c r="N10" s="1">
        <f t="shared" si="0"/>
        <v>0</v>
      </c>
      <c r="O10" s="1">
        <v>3</v>
      </c>
      <c r="P10" s="1">
        <v>-1</v>
      </c>
      <c r="Q10" s="1">
        <v>0</v>
      </c>
      <c r="R10" s="1">
        <f t="shared" si="1"/>
        <v>2</v>
      </c>
      <c r="S10" s="1">
        <v>41.854300000000002</v>
      </c>
      <c r="T10" s="1">
        <v>3.6200000000000003E-2</v>
      </c>
      <c r="U10" s="47">
        <f t="shared" si="2"/>
        <v>3</v>
      </c>
      <c r="V10" s="1">
        <v>95.009799999999998</v>
      </c>
      <c r="W10" s="1">
        <v>2.5000000000000001E-2</v>
      </c>
      <c r="X10">
        <f t="shared" si="3"/>
        <v>3</v>
      </c>
      <c r="Y10">
        <v>95.009799999999998</v>
      </c>
      <c r="Z10">
        <v>2.5000000000000001E-2</v>
      </c>
      <c r="AA10">
        <f t="shared" si="4"/>
        <v>4</v>
      </c>
      <c r="AB10">
        <v>95.52</v>
      </c>
      <c r="AC10">
        <v>5.11E-2</v>
      </c>
    </row>
    <row r="11" spans="1:29" x14ac:dyDescent="0.25">
      <c r="A11" t="s">
        <v>27</v>
      </c>
      <c r="B11">
        <v>916.49940800000002</v>
      </c>
      <c r="C11">
        <v>7.6587820000000004</v>
      </c>
      <c r="D11">
        <v>0.14685008598327975</v>
      </c>
      <c r="E11" s="1">
        <v>3</v>
      </c>
      <c r="F11" s="57">
        <v>4</v>
      </c>
      <c r="G11" s="1">
        <v>1200</v>
      </c>
      <c r="H11" s="1">
        <v>0</v>
      </c>
      <c r="I11" s="1">
        <v>2</v>
      </c>
      <c r="J11" s="1">
        <v>-2</v>
      </c>
      <c r="K11" s="1">
        <v>0.5</v>
      </c>
      <c r="L11" s="1">
        <v>1</v>
      </c>
      <c r="M11" s="1">
        <v>3</v>
      </c>
      <c r="N11" s="1">
        <f t="shared" si="0"/>
        <v>0</v>
      </c>
      <c r="O11" s="1">
        <v>3</v>
      </c>
      <c r="P11" s="1">
        <v>-1</v>
      </c>
      <c r="Q11" s="1">
        <v>0</v>
      </c>
      <c r="R11" s="1">
        <f t="shared" si="1"/>
        <v>2</v>
      </c>
      <c r="S11" s="1">
        <v>41.854300000000002</v>
      </c>
      <c r="T11" s="1">
        <v>3.6200000000000003E-2</v>
      </c>
      <c r="U11" s="47">
        <f t="shared" si="2"/>
        <v>3</v>
      </c>
      <c r="V11" s="1">
        <v>95.009799999999998</v>
      </c>
      <c r="W11" s="1">
        <v>2.5000000000000001E-2</v>
      </c>
      <c r="X11">
        <f t="shared" si="3"/>
        <v>3</v>
      </c>
      <c r="Y11">
        <v>95.009799999999998</v>
      </c>
      <c r="Z11">
        <v>2.5000000000000001E-2</v>
      </c>
      <c r="AA11">
        <f t="shared" si="4"/>
        <v>4</v>
      </c>
      <c r="AB11">
        <v>95.52</v>
      </c>
      <c r="AC11">
        <v>5.11E-2</v>
      </c>
    </row>
    <row r="12" spans="1:29" x14ac:dyDescent="0.25">
      <c r="A12" t="s">
        <v>28</v>
      </c>
      <c r="B12">
        <v>993.50052800000003</v>
      </c>
      <c r="C12">
        <v>1.952696</v>
      </c>
      <c r="D12">
        <v>0.12388909471908724</v>
      </c>
      <c r="E12" s="1">
        <v>2</v>
      </c>
      <c r="F12" s="57">
        <v>3</v>
      </c>
      <c r="G12" s="1">
        <v>1200</v>
      </c>
      <c r="H12" s="1">
        <v>0</v>
      </c>
      <c r="I12" s="1">
        <v>2</v>
      </c>
      <c r="J12" s="1">
        <v>0</v>
      </c>
      <c r="K12" s="1">
        <v>0.5</v>
      </c>
      <c r="L12" s="1">
        <v>1</v>
      </c>
      <c r="M12" s="1">
        <v>2</v>
      </c>
      <c r="N12" s="1">
        <f t="shared" si="0"/>
        <v>0</v>
      </c>
      <c r="O12" s="1">
        <v>0</v>
      </c>
      <c r="P12" s="1">
        <v>2</v>
      </c>
      <c r="Q12" s="1">
        <v>3</v>
      </c>
      <c r="R12" s="1">
        <f t="shared" si="1"/>
        <v>6</v>
      </c>
      <c r="S12" s="1">
        <v>97.004099999999994</v>
      </c>
      <c r="T12" s="1">
        <v>0.31330000000000002</v>
      </c>
      <c r="U12" s="47">
        <f t="shared" si="2"/>
        <v>7</v>
      </c>
      <c r="V12" s="1">
        <v>100</v>
      </c>
      <c r="W12" s="1">
        <v>10000000000</v>
      </c>
      <c r="X12">
        <f t="shared" si="3"/>
        <v>7</v>
      </c>
      <c r="Y12">
        <v>100</v>
      </c>
      <c r="Z12">
        <v>10000000000</v>
      </c>
      <c r="AA12">
        <f t="shared" si="4"/>
        <v>8</v>
      </c>
      <c r="AB12">
        <v>100</v>
      </c>
      <c r="AC12">
        <v>10000000000</v>
      </c>
    </row>
    <row r="13" spans="1:29" x14ac:dyDescent="0.25">
      <c r="A13" t="s">
        <v>29</v>
      </c>
      <c r="B13">
        <v>867.67580599999997</v>
      </c>
      <c r="C13">
        <v>5.1751329999999998</v>
      </c>
      <c r="D13">
        <v>0.16174574693147703</v>
      </c>
      <c r="E13" s="1">
        <v>3</v>
      </c>
      <c r="F13" s="57">
        <v>4</v>
      </c>
      <c r="G13" s="1">
        <v>1200</v>
      </c>
      <c r="H13" s="1">
        <v>0</v>
      </c>
      <c r="I13" s="1">
        <v>2</v>
      </c>
      <c r="J13" s="1">
        <v>-1</v>
      </c>
      <c r="K13" s="1">
        <v>0.5</v>
      </c>
      <c r="L13" s="1">
        <v>1</v>
      </c>
      <c r="M13" s="1">
        <v>3</v>
      </c>
      <c r="N13" s="1">
        <f t="shared" si="0"/>
        <v>0</v>
      </c>
      <c r="O13" s="1">
        <v>3</v>
      </c>
      <c r="P13" s="1">
        <v>-1</v>
      </c>
      <c r="Q13" s="1">
        <v>0</v>
      </c>
      <c r="R13" s="1">
        <f t="shared" si="1"/>
        <v>3</v>
      </c>
      <c r="S13" s="1">
        <v>95.009799999999998</v>
      </c>
      <c r="T13" s="1">
        <v>2.5000000000000001E-2</v>
      </c>
      <c r="U13" s="47">
        <f t="shared" si="2"/>
        <v>4</v>
      </c>
      <c r="V13" s="1">
        <v>95.52</v>
      </c>
      <c r="W13" s="1">
        <v>5.11E-2</v>
      </c>
      <c r="X13">
        <f t="shared" si="3"/>
        <v>4</v>
      </c>
      <c r="Y13">
        <v>95.52</v>
      </c>
      <c r="Z13">
        <v>5.11E-2</v>
      </c>
      <c r="AA13">
        <f t="shared" si="4"/>
        <v>5</v>
      </c>
      <c r="AB13">
        <v>97.318399999999997</v>
      </c>
      <c r="AC13">
        <v>0.1103</v>
      </c>
    </row>
    <row r="14" spans="1:29" x14ac:dyDescent="0.25">
      <c r="A14" t="s">
        <v>30</v>
      </c>
      <c r="B14">
        <v>905.94946600000003</v>
      </c>
      <c r="C14">
        <v>2.6654779999999998</v>
      </c>
      <c r="D14">
        <v>0.12386814471050991</v>
      </c>
      <c r="E14" s="1">
        <v>3</v>
      </c>
      <c r="F14" s="57">
        <v>4</v>
      </c>
      <c r="G14" s="1">
        <v>1200</v>
      </c>
      <c r="H14" s="1">
        <v>0</v>
      </c>
      <c r="I14" s="1">
        <v>2</v>
      </c>
      <c r="J14" s="1">
        <v>0</v>
      </c>
      <c r="K14" s="1">
        <v>0.5</v>
      </c>
      <c r="L14" s="1">
        <v>1</v>
      </c>
      <c r="M14" s="1">
        <v>3</v>
      </c>
      <c r="N14" s="1">
        <f t="shared" si="0"/>
        <v>0</v>
      </c>
      <c r="O14" s="1">
        <v>3</v>
      </c>
      <c r="P14" s="1">
        <v>-1</v>
      </c>
      <c r="Q14" s="1">
        <v>0</v>
      </c>
      <c r="R14" s="1">
        <f t="shared" si="1"/>
        <v>4</v>
      </c>
      <c r="S14" s="1">
        <v>95.52</v>
      </c>
      <c r="T14" s="1">
        <v>5.11E-2</v>
      </c>
      <c r="U14" s="47">
        <f t="shared" si="2"/>
        <v>5</v>
      </c>
      <c r="V14" s="1">
        <v>97.318399999999997</v>
      </c>
      <c r="W14" s="1">
        <v>0.1103</v>
      </c>
      <c r="X14">
        <f t="shared" si="3"/>
        <v>5</v>
      </c>
      <c r="Y14">
        <v>97.318399999999997</v>
      </c>
      <c r="Z14">
        <v>0.1103</v>
      </c>
      <c r="AA14">
        <f t="shared" si="4"/>
        <v>6</v>
      </c>
      <c r="AB14">
        <v>97.004099999999994</v>
      </c>
      <c r="AC14">
        <v>0.31330000000000002</v>
      </c>
    </row>
    <row r="15" spans="1:29" x14ac:dyDescent="0.25">
      <c r="A15" t="s">
        <v>90</v>
      </c>
      <c r="B15">
        <v>951.84631999999999</v>
      </c>
      <c r="C15">
        <v>2.0838869999999998</v>
      </c>
      <c r="D15">
        <v>0.16143304995598312</v>
      </c>
      <c r="E15" s="1">
        <v>3</v>
      </c>
      <c r="F15" s="57">
        <v>4</v>
      </c>
      <c r="G15" s="1">
        <v>1200</v>
      </c>
      <c r="H15" s="1">
        <v>0</v>
      </c>
      <c r="I15" s="1">
        <v>2</v>
      </c>
      <c r="J15" s="1">
        <v>0</v>
      </c>
      <c r="K15" s="1">
        <v>0.5</v>
      </c>
      <c r="L15" s="1">
        <v>1</v>
      </c>
      <c r="M15" s="1">
        <v>3</v>
      </c>
      <c r="N15" s="1">
        <f t="shared" si="0"/>
        <v>0</v>
      </c>
      <c r="O15" s="1">
        <v>3</v>
      </c>
      <c r="P15" s="1">
        <v>-1</v>
      </c>
      <c r="Q15" s="1">
        <v>0</v>
      </c>
      <c r="R15" s="1">
        <f t="shared" si="1"/>
        <v>4</v>
      </c>
      <c r="S15" s="1">
        <v>95.52</v>
      </c>
      <c r="T15" s="1">
        <v>5.11E-2</v>
      </c>
      <c r="U15" s="47">
        <f t="shared" si="2"/>
        <v>5</v>
      </c>
      <c r="V15" s="1">
        <v>97.318399999999997</v>
      </c>
      <c r="W15" s="1">
        <v>0.1103</v>
      </c>
      <c r="X15">
        <f t="shared" si="3"/>
        <v>5</v>
      </c>
      <c r="Y15">
        <v>97.318399999999997</v>
      </c>
      <c r="Z15">
        <v>0.1103</v>
      </c>
      <c r="AA15">
        <f t="shared" si="4"/>
        <v>6</v>
      </c>
      <c r="AB15">
        <v>97.004099999999994</v>
      </c>
      <c r="AC15">
        <v>0.31330000000000002</v>
      </c>
    </row>
    <row r="16" spans="1:29" x14ac:dyDescent="0.25">
      <c r="A16" t="s">
        <v>91</v>
      </c>
      <c r="B16">
        <v>1067.6030430000001</v>
      </c>
      <c r="C16">
        <v>1.8277289999999999</v>
      </c>
      <c r="D16">
        <v>0.168021560216013</v>
      </c>
      <c r="E16" s="1">
        <v>3</v>
      </c>
      <c r="F16" s="57">
        <v>4</v>
      </c>
      <c r="G16" s="1">
        <v>1200</v>
      </c>
      <c r="H16" s="1">
        <v>0</v>
      </c>
      <c r="I16" s="1">
        <v>2</v>
      </c>
      <c r="J16" s="1">
        <v>0</v>
      </c>
      <c r="K16" s="1">
        <v>0.5</v>
      </c>
      <c r="L16" s="1">
        <v>1</v>
      </c>
      <c r="M16" s="1">
        <v>3</v>
      </c>
      <c r="N16" s="1">
        <f t="shared" si="0"/>
        <v>0</v>
      </c>
      <c r="O16" s="1">
        <v>3</v>
      </c>
      <c r="P16" s="1">
        <v>-1</v>
      </c>
      <c r="Q16" s="1">
        <v>0</v>
      </c>
      <c r="R16" s="1">
        <f t="shared" si="1"/>
        <v>4</v>
      </c>
      <c r="S16" s="1">
        <v>95.52</v>
      </c>
      <c r="T16" s="1">
        <v>5.11E-2</v>
      </c>
      <c r="U16" s="47">
        <f t="shared" si="2"/>
        <v>5</v>
      </c>
      <c r="V16" s="1">
        <v>97.318399999999997</v>
      </c>
      <c r="W16" s="1">
        <v>0.1103</v>
      </c>
      <c r="X16">
        <f t="shared" si="3"/>
        <v>5</v>
      </c>
      <c r="Y16">
        <v>97.318399999999997</v>
      </c>
      <c r="Z16">
        <v>0.1103</v>
      </c>
      <c r="AA16">
        <f t="shared" si="4"/>
        <v>6</v>
      </c>
      <c r="AB16">
        <v>97.004099999999994</v>
      </c>
      <c r="AC16">
        <v>0.31330000000000002</v>
      </c>
    </row>
    <row r="17" spans="1:29" x14ac:dyDescent="0.25">
      <c r="A17" t="s">
        <v>33</v>
      </c>
      <c r="B17">
        <v>719.85592699999995</v>
      </c>
      <c r="C17">
        <v>17.443083000000001</v>
      </c>
      <c r="D17">
        <v>0.12776792547365493</v>
      </c>
      <c r="E17" s="1">
        <v>3</v>
      </c>
      <c r="F17" s="57">
        <v>2</v>
      </c>
      <c r="G17" s="1">
        <v>600</v>
      </c>
      <c r="H17" s="1">
        <v>0</v>
      </c>
      <c r="I17" s="1">
        <v>10</v>
      </c>
      <c r="J17" s="1">
        <v>-3</v>
      </c>
      <c r="K17" s="1">
        <v>0.5</v>
      </c>
      <c r="L17" s="1">
        <v>1</v>
      </c>
      <c r="M17" s="1">
        <v>3</v>
      </c>
      <c r="N17" s="1">
        <f t="shared" si="0"/>
        <v>0</v>
      </c>
      <c r="O17" s="1">
        <v>3</v>
      </c>
      <c r="P17" s="1">
        <v>-1</v>
      </c>
      <c r="Q17" s="1">
        <v>0</v>
      </c>
      <c r="R17" s="1">
        <f t="shared" si="1"/>
        <v>1</v>
      </c>
      <c r="S17" s="1">
        <v>22.9239</v>
      </c>
      <c r="T17" s="1">
        <v>1.24E-2</v>
      </c>
      <c r="U17" s="47">
        <f t="shared" si="2"/>
        <v>1</v>
      </c>
      <c r="V17" s="1">
        <v>22.9239</v>
      </c>
      <c r="W17" s="1">
        <v>1.24E-2</v>
      </c>
      <c r="X17">
        <f t="shared" si="3"/>
        <v>2</v>
      </c>
      <c r="Y17">
        <v>22.9239</v>
      </c>
      <c r="Z17">
        <v>1.24E-2</v>
      </c>
      <c r="AA17">
        <f t="shared" si="4"/>
        <v>2</v>
      </c>
      <c r="AB17">
        <v>41.854300000000002</v>
      </c>
      <c r="AC17">
        <v>3.6200000000000003E-2</v>
      </c>
    </row>
    <row r="18" spans="1:29" x14ac:dyDescent="0.25">
      <c r="A18" t="s">
        <v>34</v>
      </c>
      <c r="B18">
        <v>811.98987699999998</v>
      </c>
      <c r="C18">
        <v>8.2796970000000005</v>
      </c>
      <c r="D18">
        <v>0.16513278338138215</v>
      </c>
      <c r="E18" s="1">
        <v>3</v>
      </c>
      <c r="F18" s="57">
        <v>2</v>
      </c>
      <c r="G18" s="1">
        <v>600</v>
      </c>
      <c r="H18" s="1">
        <v>0</v>
      </c>
      <c r="I18" s="1">
        <v>10</v>
      </c>
      <c r="J18" s="1">
        <v>1</v>
      </c>
      <c r="K18" s="1">
        <v>0.5</v>
      </c>
      <c r="L18" s="1">
        <v>1</v>
      </c>
      <c r="M18" s="1">
        <v>3</v>
      </c>
      <c r="N18" s="1">
        <f t="shared" si="0"/>
        <v>0</v>
      </c>
      <c r="O18" s="1">
        <v>3</v>
      </c>
      <c r="P18" s="1">
        <v>-1</v>
      </c>
      <c r="Q18" s="1">
        <v>0</v>
      </c>
      <c r="R18" s="1">
        <f t="shared" si="1"/>
        <v>3</v>
      </c>
      <c r="S18" s="1">
        <v>95.009799999999998</v>
      </c>
      <c r="T18" s="1">
        <v>2.5000000000000001E-2</v>
      </c>
      <c r="U18" s="47">
        <f t="shared" si="2"/>
        <v>4</v>
      </c>
      <c r="V18" s="1">
        <v>95.52</v>
      </c>
      <c r="W18" s="1">
        <v>5.11E-2</v>
      </c>
      <c r="X18">
        <f t="shared" si="3"/>
        <v>4</v>
      </c>
      <c r="Y18">
        <v>95.52</v>
      </c>
      <c r="Z18">
        <v>5.11E-2</v>
      </c>
      <c r="AA18">
        <f t="shared" si="4"/>
        <v>5</v>
      </c>
      <c r="AB18">
        <v>97.318399999999997</v>
      </c>
      <c r="AC18">
        <v>0.1103</v>
      </c>
    </row>
    <row r="19" spans="1:29" x14ac:dyDescent="0.25">
      <c r="A19" t="s">
        <v>92</v>
      </c>
      <c r="B19">
        <v>783.805924</v>
      </c>
      <c r="C19">
        <v>2.1162570000000001</v>
      </c>
      <c r="D19">
        <v>2.0260775643324545E-2</v>
      </c>
      <c r="E19" s="1">
        <v>2</v>
      </c>
      <c r="F19" s="57">
        <v>7</v>
      </c>
      <c r="G19" s="1">
        <v>600</v>
      </c>
      <c r="H19" s="1">
        <v>0</v>
      </c>
      <c r="I19" s="1">
        <v>2</v>
      </c>
      <c r="J19" s="1">
        <v>0</v>
      </c>
      <c r="K19" s="1">
        <v>0.5</v>
      </c>
      <c r="L19" s="1">
        <v>1</v>
      </c>
      <c r="M19" s="1">
        <v>2</v>
      </c>
      <c r="N19" s="1">
        <f t="shared" si="0"/>
        <v>0</v>
      </c>
      <c r="O19" s="1">
        <v>3</v>
      </c>
      <c r="P19" s="1">
        <v>-1</v>
      </c>
      <c r="Q19" s="1">
        <v>0</v>
      </c>
      <c r="R19" s="1">
        <f t="shared" si="1"/>
        <v>7</v>
      </c>
      <c r="S19" s="1">
        <v>100</v>
      </c>
      <c r="T19" s="1">
        <v>10000000000</v>
      </c>
      <c r="U19" s="47">
        <f t="shared" si="2"/>
        <v>8</v>
      </c>
      <c r="V19" s="1">
        <v>100</v>
      </c>
      <c r="W19" s="1">
        <v>10000000000</v>
      </c>
      <c r="X19">
        <f t="shared" si="3"/>
        <v>8</v>
      </c>
      <c r="Y19">
        <v>100</v>
      </c>
      <c r="Z19">
        <v>10000000000</v>
      </c>
      <c r="AA19">
        <f t="shared" si="4"/>
        <v>9</v>
      </c>
      <c r="AB19">
        <v>100</v>
      </c>
      <c r="AC19">
        <v>10000000000</v>
      </c>
    </row>
    <row r="20" spans="1:29" x14ac:dyDescent="0.25">
      <c r="A20" t="s">
        <v>36</v>
      </c>
      <c r="B20">
        <v>812.35029599999996</v>
      </c>
      <c r="C20">
        <v>11.588165</v>
      </c>
      <c r="D20">
        <v>0.15039491520805517</v>
      </c>
      <c r="E20" s="1">
        <v>2</v>
      </c>
      <c r="F20" s="57">
        <v>2</v>
      </c>
      <c r="G20" s="1">
        <v>600</v>
      </c>
      <c r="H20" s="1">
        <v>0</v>
      </c>
      <c r="I20" s="1">
        <v>10</v>
      </c>
      <c r="J20" s="1">
        <v>-1</v>
      </c>
      <c r="K20" s="1">
        <v>0.5</v>
      </c>
      <c r="L20" s="1">
        <v>1</v>
      </c>
      <c r="M20" s="1">
        <v>3</v>
      </c>
      <c r="N20" s="1">
        <f t="shared" si="0"/>
        <v>1</v>
      </c>
      <c r="O20" s="1">
        <v>3</v>
      </c>
      <c r="P20" s="1">
        <v>-1</v>
      </c>
      <c r="Q20" s="1">
        <v>0</v>
      </c>
      <c r="R20" s="1">
        <f t="shared" si="1"/>
        <v>2</v>
      </c>
      <c r="S20" s="1">
        <v>41.854300000000002</v>
      </c>
      <c r="T20" s="1">
        <v>3.6200000000000003E-2</v>
      </c>
      <c r="U20" s="1">
        <f t="shared" si="2"/>
        <v>3</v>
      </c>
      <c r="V20" s="1">
        <v>95.009799999999998</v>
      </c>
      <c r="W20" s="1">
        <v>2.5000000000000001E-2</v>
      </c>
      <c r="X20">
        <f t="shared" si="3"/>
        <v>3</v>
      </c>
      <c r="Y20">
        <v>95.009799999999998</v>
      </c>
      <c r="Z20">
        <v>2.5000000000000001E-2</v>
      </c>
      <c r="AA20">
        <f t="shared" si="4"/>
        <v>4</v>
      </c>
      <c r="AB20">
        <v>95.52</v>
      </c>
      <c r="AC20">
        <v>5.11E-2</v>
      </c>
    </row>
    <row r="21" spans="1:29" x14ac:dyDescent="0.25">
      <c r="A21" t="s">
        <v>37</v>
      </c>
      <c r="B21">
        <v>887.72204199999999</v>
      </c>
      <c r="C21">
        <v>15.393765</v>
      </c>
      <c r="D21">
        <v>0.17928048669665814</v>
      </c>
      <c r="E21" s="1">
        <v>3</v>
      </c>
      <c r="F21" s="57">
        <v>2</v>
      </c>
      <c r="G21" s="1">
        <v>600</v>
      </c>
      <c r="H21" s="1">
        <v>0</v>
      </c>
      <c r="I21" s="1">
        <v>10</v>
      </c>
      <c r="J21" s="1">
        <v>-2</v>
      </c>
      <c r="K21" s="1">
        <v>0.5</v>
      </c>
      <c r="L21" s="1">
        <v>1</v>
      </c>
      <c r="M21" s="1">
        <v>3</v>
      </c>
      <c r="N21" s="1">
        <f t="shared" si="0"/>
        <v>0</v>
      </c>
      <c r="O21" s="1">
        <v>3</v>
      </c>
      <c r="P21" s="1">
        <v>-1</v>
      </c>
      <c r="Q21" s="1">
        <v>0</v>
      </c>
      <c r="R21" s="1">
        <f t="shared" si="1"/>
        <v>1</v>
      </c>
      <c r="S21" s="1">
        <v>22.9239</v>
      </c>
      <c r="T21" s="1">
        <v>1.24E-2</v>
      </c>
      <c r="U21" s="1">
        <f t="shared" si="2"/>
        <v>1</v>
      </c>
      <c r="V21" s="1">
        <v>22.9239</v>
      </c>
      <c r="W21" s="1">
        <v>1.24E-2</v>
      </c>
      <c r="X21">
        <f t="shared" si="3"/>
        <v>2</v>
      </c>
      <c r="Y21">
        <v>22.9239</v>
      </c>
      <c r="Z21">
        <v>1.24E-2</v>
      </c>
      <c r="AA21">
        <f t="shared" si="4"/>
        <v>2</v>
      </c>
      <c r="AB21">
        <v>41.854300000000002</v>
      </c>
      <c r="AC21">
        <v>3.6200000000000003E-2</v>
      </c>
    </row>
    <row r="22" spans="1:29" x14ac:dyDescent="0.25">
      <c r="A22" t="s">
        <v>38</v>
      </c>
      <c r="B22">
        <v>914.07176100000004</v>
      </c>
      <c r="C22">
        <v>18.834634999999999</v>
      </c>
      <c r="D22">
        <v>0.16799711337577766</v>
      </c>
      <c r="E22" s="1">
        <v>2</v>
      </c>
      <c r="F22" s="57">
        <v>2</v>
      </c>
      <c r="G22" s="1">
        <v>600</v>
      </c>
      <c r="H22" s="1">
        <v>0</v>
      </c>
      <c r="I22" s="1">
        <v>10</v>
      </c>
      <c r="J22" s="1">
        <v>-3</v>
      </c>
      <c r="K22" s="1">
        <v>0.5</v>
      </c>
      <c r="L22" s="1">
        <v>1</v>
      </c>
      <c r="M22" s="1">
        <v>3</v>
      </c>
      <c r="N22" s="1">
        <f t="shared" si="0"/>
        <v>1</v>
      </c>
      <c r="O22" s="1">
        <v>3</v>
      </c>
      <c r="P22" s="1">
        <v>-1</v>
      </c>
      <c r="Q22" s="1">
        <v>0</v>
      </c>
      <c r="R22" s="1">
        <f t="shared" si="1"/>
        <v>1</v>
      </c>
      <c r="S22" s="1">
        <v>22.9239</v>
      </c>
      <c r="T22" s="1">
        <v>1.24E-2</v>
      </c>
      <c r="U22" s="1">
        <f t="shared" si="2"/>
        <v>1</v>
      </c>
      <c r="V22" s="1">
        <v>22.9239</v>
      </c>
      <c r="W22" s="1">
        <v>1.24E-2</v>
      </c>
      <c r="X22">
        <f t="shared" si="3"/>
        <v>2</v>
      </c>
      <c r="Y22">
        <v>22.9239</v>
      </c>
      <c r="Z22">
        <v>1.24E-2</v>
      </c>
      <c r="AA22">
        <f t="shared" si="4"/>
        <v>2</v>
      </c>
      <c r="AB22">
        <v>41.854300000000002</v>
      </c>
      <c r="AC22">
        <v>3.6200000000000003E-2</v>
      </c>
    </row>
    <row r="23" spans="1:29" x14ac:dyDescent="0.25">
      <c r="A23" t="s">
        <v>39</v>
      </c>
      <c r="B23">
        <v>740.15591600000005</v>
      </c>
      <c r="C23">
        <v>12.204599</v>
      </c>
      <c r="D23">
        <v>0.11808570957772652</v>
      </c>
      <c r="E23" s="1">
        <v>2</v>
      </c>
      <c r="F23" s="57">
        <v>2</v>
      </c>
      <c r="G23" s="1">
        <v>600</v>
      </c>
      <c r="H23" s="1">
        <v>0</v>
      </c>
      <c r="I23" s="1">
        <v>10</v>
      </c>
      <c r="J23" s="1">
        <v>-1</v>
      </c>
      <c r="K23" s="1">
        <v>0.5</v>
      </c>
      <c r="L23" s="1">
        <v>1</v>
      </c>
      <c r="M23" s="1">
        <v>3</v>
      </c>
      <c r="N23" s="1">
        <f t="shared" si="0"/>
        <v>1</v>
      </c>
      <c r="O23" s="1">
        <v>3</v>
      </c>
      <c r="P23" s="1">
        <v>-1</v>
      </c>
      <c r="Q23" s="1">
        <v>0</v>
      </c>
      <c r="R23" s="1">
        <f t="shared" si="1"/>
        <v>2</v>
      </c>
      <c r="S23" s="1">
        <v>41.854300000000002</v>
      </c>
      <c r="T23" s="1">
        <v>3.6200000000000003E-2</v>
      </c>
      <c r="U23" s="1">
        <f t="shared" si="2"/>
        <v>3</v>
      </c>
      <c r="V23" s="1">
        <v>95.009799999999998</v>
      </c>
      <c r="W23" s="1">
        <v>2.5000000000000001E-2</v>
      </c>
      <c r="X23">
        <f t="shared" si="3"/>
        <v>3</v>
      </c>
      <c r="Y23">
        <v>95.009799999999998</v>
      </c>
      <c r="Z23">
        <v>2.5000000000000001E-2</v>
      </c>
      <c r="AA23">
        <f t="shared" si="4"/>
        <v>4</v>
      </c>
      <c r="AB23">
        <v>95.52</v>
      </c>
      <c r="AC23">
        <v>5.11E-2</v>
      </c>
    </row>
    <row r="24" spans="1:29" x14ac:dyDescent="0.25">
      <c r="A24" t="s">
        <v>40</v>
      </c>
      <c r="B24">
        <v>711.00450499999999</v>
      </c>
      <c r="C24">
        <v>43.935775999999997</v>
      </c>
      <c r="D24">
        <v>0.12262445032792736</v>
      </c>
      <c r="E24" s="1">
        <v>2</v>
      </c>
      <c r="F24" s="57">
        <v>2</v>
      </c>
      <c r="G24" s="1">
        <v>600</v>
      </c>
      <c r="H24" s="1">
        <v>0</v>
      </c>
      <c r="I24" s="1">
        <v>10</v>
      </c>
      <c r="J24" s="1">
        <v>-13</v>
      </c>
      <c r="K24" s="1">
        <v>0.5</v>
      </c>
      <c r="L24" s="1">
        <v>1</v>
      </c>
      <c r="M24" s="1">
        <v>3</v>
      </c>
      <c r="N24" s="1">
        <f t="shared" si="0"/>
        <v>1</v>
      </c>
      <c r="O24" s="1">
        <v>3</v>
      </c>
      <c r="P24" s="1">
        <v>-1</v>
      </c>
      <c r="Q24" s="1">
        <v>0</v>
      </c>
      <c r="R24" s="1">
        <f t="shared" si="1"/>
        <v>1</v>
      </c>
      <c r="S24" s="1">
        <v>22.9239</v>
      </c>
      <c r="T24" s="1">
        <v>1.24E-2</v>
      </c>
      <c r="U24" s="1">
        <f t="shared" si="2"/>
        <v>1</v>
      </c>
      <c r="V24" s="1">
        <v>22.9239</v>
      </c>
      <c r="W24" s="1">
        <v>1.24E-2</v>
      </c>
      <c r="X24">
        <f t="shared" si="3"/>
        <v>2</v>
      </c>
      <c r="Y24">
        <v>22.9239</v>
      </c>
      <c r="Z24">
        <v>1.24E-2</v>
      </c>
      <c r="AA24">
        <f t="shared" si="4"/>
        <v>2</v>
      </c>
      <c r="AB24">
        <v>41.854300000000002</v>
      </c>
      <c r="AC24">
        <v>3.6200000000000003E-2</v>
      </c>
    </row>
    <row r="25" spans="1:29" x14ac:dyDescent="0.25">
      <c r="A25" t="s">
        <v>41</v>
      </c>
      <c r="B25">
        <v>931.91650100000004</v>
      </c>
      <c r="C25">
        <v>5.3490570000000002</v>
      </c>
      <c r="D25">
        <v>0.17768357555945685</v>
      </c>
      <c r="E25" s="1">
        <v>2</v>
      </c>
      <c r="F25" s="57">
        <v>3</v>
      </c>
      <c r="G25" s="1">
        <v>1200</v>
      </c>
      <c r="H25" s="1">
        <v>0</v>
      </c>
      <c r="I25" s="1">
        <v>2</v>
      </c>
      <c r="J25" s="1">
        <v>-1</v>
      </c>
      <c r="K25" s="1">
        <v>0.5</v>
      </c>
      <c r="L25" s="1">
        <v>1</v>
      </c>
      <c r="M25" s="1">
        <v>2</v>
      </c>
      <c r="N25" s="1">
        <f t="shared" si="0"/>
        <v>0</v>
      </c>
      <c r="O25" s="1">
        <v>0</v>
      </c>
      <c r="P25" s="1">
        <v>2</v>
      </c>
      <c r="Q25" s="1">
        <v>3</v>
      </c>
      <c r="R25" s="1">
        <f t="shared" si="1"/>
        <v>5</v>
      </c>
      <c r="S25" s="1">
        <v>97.318399999999997</v>
      </c>
      <c r="T25" s="1">
        <v>0.1103</v>
      </c>
      <c r="U25" s="1">
        <f t="shared" si="2"/>
        <v>6</v>
      </c>
      <c r="V25" s="1">
        <v>97.004099999999994</v>
      </c>
      <c r="W25" s="1">
        <v>0.31330000000000002</v>
      </c>
      <c r="X25">
        <f t="shared" si="3"/>
        <v>6</v>
      </c>
      <c r="Y25">
        <v>97.004099999999994</v>
      </c>
      <c r="Z25">
        <v>0.31330000000000002</v>
      </c>
      <c r="AA25">
        <f t="shared" si="4"/>
        <v>7</v>
      </c>
      <c r="AB25">
        <v>100</v>
      </c>
      <c r="AC25">
        <v>10000000000</v>
      </c>
    </row>
    <row r="26" spans="1:29" x14ac:dyDescent="0.25">
      <c r="A26" t="s">
        <v>42</v>
      </c>
      <c r="B26">
        <v>957.52678700000001</v>
      </c>
      <c r="C26">
        <v>4.7038390000000003</v>
      </c>
      <c r="D26">
        <v>0.16277484198125614</v>
      </c>
      <c r="E26" s="1">
        <v>2</v>
      </c>
      <c r="F26" s="57">
        <v>3</v>
      </c>
      <c r="G26" s="1">
        <v>1200</v>
      </c>
      <c r="H26" s="1">
        <v>0</v>
      </c>
      <c r="I26" s="1">
        <v>2</v>
      </c>
      <c r="J26" s="1">
        <v>-1</v>
      </c>
      <c r="K26" s="1">
        <v>0.5</v>
      </c>
      <c r="L26" s="1">
        <v>1</v>
      </c>
      <c r="M26" s="1">
        <v>2</v>
      </c>
      <c r="N26" s="1">
        <f t="shared" si="0"/>
        <v>0</v>
      </c>
      <c r="O26" s="1">
        <v>0</v>
      </c>
      <c r="P26" s="1">
        <v>2</v>
      </c>
      <c r="Q26" s="1">
        <v>3</v>
      </c>
      <c r="R26" s="1">
        <f t="shared" si="1"/>
        <v>5</v>
      </c>
      <c r="S26" s="1">
        <v>97.318399999999997</v>
      </c>
      <c r="T26" s="1">
        <v>0.1103</v>
      </c>
      <c r="U26" s="1">
        <f t="shared" si="2"/>
        <v>6</v>
      </c>
      <c r="V26" s="1">
        <v>97.004099999999994</v>
      </c>
      <c r="W26" s="1">
        <v>0.31330000000000002</v>
      </c>
      <c r="X26">
        <f t="shared" si="3"/>
        <v>6</v>
      </c>
      <c r="Y26">
        <v>97.004099999999994</v>
      </c>
      <c r="Z26">
        <v>0.31330000000000002</v>
      </c>
      <c r="AA26">
        <f t="shared" si="4"/>
        <v>7</v>
      </c>
      <c r="AB26">
        <v>100</v>
      </c>
      <c r="AC26">
        <v>10000000000</v>
      </c>
    </row>
    <row r="27" spans="1:29" x14ac:dyDescent="0.25">
      <c r="A27" t="s">
        <v>93</v>
      </c>
      <c r="B27">
        <v>994.89722500000005</v>
      </c>
      <c r="C27">
        <v>1.216547</v>
      </c>
      <c r="D27">
        <v>0.13070170232657907</v>
      </c>
      <c r="E27" s="1">
        <v>3</v>
      </c>
      <c r="F27" s="57">
        <v>4</v>
      </c>
      <c r="G27" s="1">
        <v>1200</v>
      </c>
      <c r="H27" s="1">
        <v>0</v>
      </c>
      <c r="I27" s="1">
        <v>2</v>
      </c>
      <c r="J27" s="1">
        <v>0</v>
      </c>
      <c r="K27" s="1">
        <v>0.5</v>
      </c>
      <c r="L27" s="1">
        <v>1</v>
      </c>
      <c r="M27" s="1">
        <v>3</v>
      </c>
      <c r="N27" s="1">
        <f t="shared" si="0"/>
        <v>0</v>
      </c>
      <c r="O27" s="1">
        <v>3</v>
      </c>
      <c r="P27" s="1">
        <v>-1</v>
      </c>
      <c r="Q27" s="1">
        <v>0</v>
      </c>
      <c r="R27" s="1">
        <f t="shared" si="1"/>
        <v>4</v>
      </c>
      <c r="S27" s="1">
        <v>95.52</v>
      </c>
      <c r="T27" s="1">
        <v>5.11E-2</v>
      </c>
      <c r="U27" s="1">
        <f t="shared" si="2"/>
        <v>5</v>
      </c>
      <c r="V27" s="1">
        <v>97.318399999999997</v>
      </c>
      <c r="W27" s="1">
        <v>0.1103</v>
      </c>
      <c r="X27">
        <f t="shared" si="3"/>
        <v>5</v>
      </c>
      <c r="Y27">
        <v>97.318399999999997</v>
      </c>
      <c r="Z27">
        <v>0.1103</v>
      </c>
      <c r="AA27">
        <f t="shared" si="4"/>
        <v>6</v>
      </c>
      <c r="AB27">
        <v>97.004099999999994</v>
      </c>
      <c r="AC27">
        <v>0.31330000000000002</v>
      </c>
    </row>
    <row r="28" spans="1:29" x14ac:dyDescent="0.25">
      <c r="A28" t="s">
        <v>44</v>
      </c>
      <c r="B28">
        <v>825.72611300000005</v>
      </c>
      <c r="C28">
        <v>7.4467359999999996</v>
      </c>
      <c r="D28">
        <v>0.15298800214515546</v>
      </c>
      <c r="E28" s="1">
        <v>2</v>
      </c>
      <c r="F28" s="57">
        <v>2</v>
      </c>
      <c r="G28" s="1">
        <v>600</v>
      </c>
      <c r="H28" s="1">
        <v>0</v>
      </c>
      <c r="I28" s="1">
        <v>10</v>
      </c>
      <c r="J28" s="1">
        <v>1</v>
      </c>
      <c r="K28" s="1">
        <v>0.5</v>
      </c>
      <c r="L28" s="1">
        <v>1</v>
      </c>
      <c r="M28" s="1">
        <v>3</v>
      </c>
      <c r="N28" s="1">
        <f t="shared" si="0"/>
        <v>1</v>
      </c>
      <c r="O28" s="1">
        <v>3</v>
      </c>
      <c r="P28" s="1">
        <v>-1</v>
      </c>
      <c r="Q28" s="1">
        <v>0</v>
      </c>
      <c r="R28" s="1">
        <f t="shared" si="1"/>
        <v>4</v>
      </c>
      <c r="S28" s="1">
        <v>95.52</v>
      </c>
      <c r="T28" s="1">
        <v>5.11E-2</v>
      </c>
      <c r="U28" s="1">
        <f t="shared" si="2"/>
        <v>5</v>
      </c>
      <c r="V28" s="1">
        <v>97.318399999999997</v>
      </c>
      <c r="W28" s="1">
        <v>0.1103</v>
      </c>
      <c r="X28">
        <f t="shared" si="3"/>
        <v>5</v>
      </c>
      <c r="Y28">
        <v>97.318399999999997</v>
      </c>
      <c r="Z28">
        <v>0.1103</v>
      </c>
      <c r="AA28">
        <f t="shared" si="4"/>
        <v>6</v>
      </c>
      <c r="AB28">
        <v>97.004099999999994</v>
      </c>
      <c r="AC28">
        <v>0.31330000000000002</v>
      </c>
    </row>
    <row r="29" spans="1:29" x14ac:dyDescent="0.25">
      <c r="A29" t="s">
        <v>80</v>
      </c>
      <c r="B29">
        <v>993.60619199999996</v>
      </c>
      <c r="C29">
        <v>1.4870110000000001</v>
      </c>
      <c r="D29">
        <v>0.12574565963676104</v>
      </c>
      <c r="E29" s="1">
        <v>3</v>
      </c>
      <c r="F29" s="57">
        <v>3</v>
      </c>
      <c r="G29" s="1">
        <v>1200</v>
      </c>
      <c r="H29" s="1">
        <v>0</v>
      </c>
      <c r="I29" s="1">
        <v>2</v>
      </c>
      <c r="J29" s="1">
        <v>0</v>
      </c>
      <c r="K29" s="1">
        <v>0.5</v>
      </c>
      <c r="L29" s="1">
        <v>1</v>
      </c>
      <c r="M29" s="1">
        <v>2</v>
      </c>
      <c r="N29" s="1">
        <f t="shared" si="0"/>
        <v>-1</v>
      </c>
      <c r="O29" s="1">
        <v>0</v>
      </c>
      <c r="P29" s="1">
        <v>2</v>
      </c>
      <c r="Q29" s="1">
        <v>3</v>
      </c>
      <c r="R29" s="1">
        <f t="shared" si="1"/>
        <v>5</v>
      </c>
      <c r="S29" s="1">
        <v>97.318399999999997</v>
      </c>
      <c r="T29" s="1">
        <v>0.1103</v>
      </c>
      <c r="U29" s="1">
        <f t="shared" si="2"/>
        <v>6</v>
      </c>
      <c r="V29" s="1">
        <v>97.004099999999994</v>
      </c>
      <c r="W29" s="1">
        <v>0.31330000000000002</v>
      </c>
      <c r="X29">
        <f t="shared" si="3"/>
        <v>6</v>
      </c>
      <c r="Y29">
        <v>97.004099999999994</v>
      </c>
      <c r="Z29">
        <v>0.31330000000000002</v>
      </c>
      <c r="AA29">
        <f t="shared" si="4"/>
        <v>7</v>
      </c>
      <c r="AB29">
        <v>100</v>
      </c>
      <c r="AC29">
        <v>10000000000</v>
      </c>
    </row>
    <row r="30" spans="1:29" x14ac:dyDescent="0.25">
      <c r="A30" t="s">
        <v>81</v>
      </c>
      <c r="B30">
        <v>929.47015799999997</v>
      </c>
      <c r="C30">
        <v>5.1709860000000001</v>
      </c>
      <c r="D30">
        <v>0.17576217909227787</v>
      </c>
      <c r="E30" s="1">
        <v>3</v>
      </c>
      <c r="F30" s="57">
        <v>4</v>
      </c>
      <c r="G30" s="1">
        <v>1200</v>
      </c>
      <c r="H30" s="1">
        <v>0</v>
      </c>
      <c r="I30" s="1">
        <v>2</v>
      </c>
      <c r="J30" s="1">
        <v>-1</v>
      </c>
      <c r="K30" s="1">
        <v>0.5</v>
      </c>
      <c r="L30" s="1">
        <v>1</v>
      </c>
      <c r="M30" s="1">
        <v>3</v>
      </c>
      <c r="N30" s="1">
        <f t="shared" si="0"/>
        <v>0</v>
      </c>
      <c r="O30" s="1">
        <v>3</v>
      </c>
      <c r="P30" s="1">
        <v>-1</v>
      </c>
      <c r="Q30" s="1">
        <v>0</v>
      </c>
      <c r="R30" s="1">
        <f t="shared" si="1"/>
        <v>3</v>
      </c>
      <c r="S30" s="1">
        <v>95.009799999999998</v>
      </c>
      <c r="T30" s="1">
        <v>2.5000000000000001E-2</v>
      </c>
      <c r="U30" s="1">
        <f t="shared" si="2"/>
        <v>4</v>
      </c>
      <c r="V30" s="1">
        <v>95.52</v>
      </c>
      <c r="W30" s="1">
        <v>5.11E-2</v>
      </c>
      <c r="X30">
        <f t="shared" si="3"/>
        <v>4</v>
      </c>
      <c r="Y30">
        <v>95.52</v>
      </c>
      <c r="Z30">
        <v>5.11E-2</v>
      </c>
      <c r="AA30">
        <f t="shared" si="4"/>
        <v>5</v>
      </c>
      <c r="AB30">
        <v>97.318399999999997</v>
      </c>
      <c r="AC30">
        <v>0.1103</v>
      </c>
    </row>
    <row r="31" spans="1:29" x14ac:dyDescent="0.25">
      <c r="A31" t="s">
        <v>82</v>
      </c>
      <c r="B31">
        <v>886.61727699999994</v>
      </c>
      <c r="C31">
        <v>4.147335</v>
      </c>
      <c r="D31">
        <v>0.17796031533766749</v>
      </c>
      <c r="E31" s="1">
        <v>3</v>
      </c>
      <c r="F31" s="57">
        <v>6</v>
      </c>
      <c r="G31" s="1">
        <v>600</v>
      </c>
      <c r="H31" s="1">
        <v>0</v>
      </c>
      <c r="I31" s="1">
        <v>2</v>
      </c>
      <c r="J31" s="1">
        <v>-1</v>
      </c>
      <c r="K31" s="1">
        <v>0.15</v>
      </c>
      <c r="L31" s="1">
        <v>0</v>
      </c>
      <c r="M31" s="1">
        <v>3</v>
      </c>
      <c r="N31" s="1">
        <f t="shared" si="0"/>
        <v>0</v>
      </c>
      <c r="O31" s="1">
        <v>3</v>
      </c>
      <c r="P31" s="1">
        <v>-1</v>
      </c>
      <c r="Q31" s="1">
        <v>0</v>
      </c>
      <c r="R31" s="1">
        <f t="shared" si="1"/>
        <v>4</v>
      </c>
      <c r="S31" s="1">
        <v>95.52</v>
      </c>
      <c r="T31" s="1">
        <v>5.11E-2</v>
      </c>
      <c r="U31" s="1">
        <f t="shared" si="2"/>
        <v>5</v>
      </c>
      <c r="V31" s="1">
        <v>97.318399999999997</v>
      </c>
      <c r="W31" s="1">
        <v>0.1103</v>
      </c>
      <c r="X31">
        <f t="shared" si="3"/>
        <v>5</v>
      </c>
      <c r="Y31">
        <v>97.318399999999997</v>
      </c>
      <c r="Z31">
        <v>0.1103</v>
      </c>
      <c r="AA31">
        <f t="shared" si="4"/>
        <v>6</v>
      </c>
      <c r="AB31">
        <v>97.004099999999994</v>
      </c>
      <c r="AC31">
        <v>0.31330000000000002</v>
      </c>
    </row>
  </sheetData>
  <sheetProtection password="C2EC" sheet="1" objects="1" scenarios="1" selectLockedCells="1" selectUnlockedCells="1"/>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(STEP 1) Baseline Conditions</vt:lpstr>
      <vt:lpstr>(STEP 2) Alternative BMP Choice</vt:lpstr>
      <vt:lpstr>Printout</vt:lpstr>
      <vt:lpstr>Management Condition Ex.</vt:lpstr>
      <vt:lpstr>Printout!Print_Area</vt:lpstr>
    </vt:vector>
  </TitlesOfParts>
  <Company>University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C Galzki</dc:creator>
  <cp:lastModifiedBy>Dahl, Ethan (He/Him/His) (BWSR)</cp:lastModifiedBy>
  <cp:lastPrinted>2017-08-07T18:19:56Z</cp:lastPrinted>
  <dcterms:created xsi:type="dcterms:W3CDTF">2017-02-14T16:25:57Z</dcterms:created>
  <dcterms:modified xsi:type="dcterms:W3CDTF">2026-04-13T19:18:45Z</dcterms:modified>
</cp:coreProperties>
</file>