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U01120914\Desktop\"/>
    </mc:Choice>
  </mc:AlternateContent>
  <xr:revisionPtr revIDLastSave="0" documentId="13_ncr:1_{8FB18360-1CDC-4A5E-9CE2-999562258170}" xr6:coauthVersionLast="47" xr6:coauthVersionMax="47" xr10:uidLastSave="{00000000-0000-0000-0000-000000000000}"/>
  <bookViews>
    <workbookView xWindow="-108" yWindow="-108" windowWidth="23256" windowHeight="12456" firstSheet="1" activeTab="2" xr2:uid="{8F63CE60-C6C0-4C05-8B8E-DE8A089A156F}"/>
  </bookViews>
  <sheets>
    <sheet name="Cubes with Lakes" sheetId="4" state="hidden" r:id="rId1"/>
    <sheet name="Cubes" sheetId="1" r:id="rId2"/>
    <sheet name="SWCD Aid rounded" sheetId="5" r:id="rId3"/>
  </sheets>
  <definedNames>
    <definedName name="_xlnm._FilterDatabase" localSheetId="1" hidden="1">Cubes!$AO$3:$AP$93</definedName>
    <definedName name="_xlnm._FilterDatabase" localSheetId="0" hidden="1">'Cubes with Lakes'!$AO$3:$AP$93</definedName>
    <definedName name="_xlnm.Database" localSheetId="1">Cubes!$D$1:$R$93</definedName>
    <definedName name="_xlnm.Database" localSheetId="0">'Cubes with Lakes'!$D$1:$R$93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4" i="5" l="1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D96" i="4"/>
  <c r="AM94" i="4"/>
  <c r="AL94" i="4"/>
  <c r="AK94" i="4"/>
  <c r="AJ94" i="4"/>
  <c r="AI94" i="4"/>
  <c r="AH94" i="4"/>
  <c r="AG94" i="4"/>
  <c r="AF94" i="4"/>
  <c r="R94" i="4"/>
  <c r="M94" i="4"/>
  <c r="J94" i="4"/>
  <c r="I94" i="4"/>
  <c r="H94" i="4"/>
  <c r="G94" i="4"/>
  <c r="F94" i="4"/>
  <c r="E94" i="4"/>
  <c r="AP93" i="4"/>
  <c r="S93" i="4"/>
  <c r="O93" i="4"/>
  <c r="AP92" i="4"/>
  <c r="S92" i="4"/>
  <c r="O92" i="4"/>
  <c r="AP91" i="4"/>
  <c r="S91" i="4"/>
  <c r="O91" i="4"/>
  <c r="N91" i="4"/>
  <c r="AP90" i="4"/>
  <c r="S90" i="4"/>
  <c r="O90" i="4"/>
  <c r="AP89" i="4"/>
  <c r="S89" i="4"/>
  <c r="O89" i="4"/>
  <c r="AP88" i="4"/>
  <c r="S88" i="4"/>
  <c r="O88" i="4"/>
  <c r="AP87" i="4"/>
  <c r="S87" i="4"/>
  <c r="O87" i="4"/>
  <c r="N87" i="4"/>
  <c r="AP86" i="4"/>
  <c r="S86" i="4"/>
  <c r="O86" i="4"/>
  <c r="AP85" i="4"/>
  <c r="S85" i="4"/>
  <c r="O85" i="4"/>
  <c r="AP84" i="4"/>
  <c r="S84" i="4"/>
  <c r="O84" i="4"/>
  <c r="AP83" i="4"/>
  <c r="S83" i="4"/>
  <c r="O83" i="4"/>
  <c r="N83" i="4"/>
  <c r="AP82" i="4"/>
  <c r="S82" i="4"/>
  <c r="O82" i="4"/>
  <c r="AP81" i="4"/>
  <c r="S81" i="4"/>
  <c r="O81" i="4"/>
  <c r="AP80" i="4"/>
  <c r="S80" i="4"/>
  <c r="O80" i="4"/>
  <c r="AP79" i="4"/>
  <c r="S79" i="4"/>
  <c r="O79" i="4"/>
  <c r="N79" i="4"/>
  <c r="AP78" i="4"/>
  <c r="S78" i="4"/>
  <c r="O78" i="4"/>
  <c r="AP77" i="4"/>
  <c r="S77" i="4"/>
  <c r="O77" i="4"/>
  <c r="AP76" i="4"/>
  <c r="S76" i="4"/>
  <c r="O76" i="4"/>
  <c r="N76" i="4"/>
  <c r="AP75" i="4"/>
  <c r="S75" i="4"/>
  <c r="O75" i="4"/>
  <c r="N75" i="4"/>
  <c r="AP74" i="4"/>
  <c r="S74" i="4"/>
  <c r="O74" i="4"/>
  <c r="AP73" i="4"/>
  <c r="S73" i="4"/>
  <c r="O73" i="4"/>
  <c r="AP72" i="4"/>
  <c r="S72" i="4"/>
  <c r="O72" i="4"/>
  <c r="AP71" i="4"/>
  <c r="S71" i="4"/>
  <c r="O71" i="4"/>
  <c r="N71" i="4"/>
  <c r="AP70" i="4"/>
  <c r="S70" i="4"/>
  <c r="O70" i="4"/>
  <c r="AP69" i="4"/>
  <c r="S69" i="4"/>
  <c r="O69" i="4"/>
  <c r="AP68" i="4"/>
  <c r="S68" i="4"/>
  <c r="O68" i="4"/>
  <c r="N68" i="4"/>
  <c r="AP67" i="4"/>
  <c r="S67" i="4"/>
  <c r="O67" i="4"/>
  <c r="N67" i="4"/>
  <c r="B67" i="4"/>
  <c r="AP66" i="4"/>
  <c r="S66" i="4"/>
  <c r="O66" i="4"/>
  <c r="AP65" i="4"/>
  <c r="S65" i="4"/>
  <c r="O65" i="4"/>
  <c r="C65" i="4"/>
  <c r="AP64" i="4"/>
  <c r="S64" i="4"/>
  <c r="O64" i="4"/>
  <c r="C64" i="4"/>
  <c r="AP63" i="4"/>
  <c r="S63" i="4"/>
  <c r="O63" i="4"/>
  <c r="N63" i="4"/>
  <c r="C63" i="4"/>
  <c r="AP62" i="4"/>
  <c r="S62" i="4"/>
  <c r="O62" i="4"/>
  <c r="AP61" i="4"/>
  <c r="S61" i="4"/>
  <c r="O61" i="4"/>
  <c r="AP60" i="4"/>
  <c r="S60" i="4"/>
  <c r="O60" i="4"/>
  <c r="B60" i="4"/>
  <c r="AP59" i="4"/>
  <c r="S59" i="4"/>
  <c r="O59" i="4"/>
  <c r="C59" i="4"/>
  <c r="AP58" i="4"/>
  <c r="S58" i="4"/>
  <c r="O58" i="4"/>
  <c r="N58" i="4"/>
  <c r="C58" i="4"/>
  <c r="AP57" i="4"/>
  <c r="S57" i="4"/>
  <c r="O57" i="4"/>
  <c r="C57" i="4"/>
  <c r="AP56" i="4"/>
  <c r="S56" i="4"/>
  <c r="O56" i="4"/>
  <c r="C56" i="4"/>
  <c r="AP55" i="4"/>
  <c r="S55" i="4"/>
  <c r="O55" i="4"/>
  <c r="C55" i="4"/>
  <c r="AP54" i="4"/>
  <c r="S54" i="4"/>
  <c r="O54" i="4"/>
  <c r="N54" i="4"/>
  <c r="AP53" i="4"/>
  <c r="S53" i="4"/>
  <c r="O53" i="4"/>
  <c r="N53" i="4"/>
  <c r="AP52" i="4"/>
  <c r="S52" i="4"/>
  <c r="O52" i="4"/>
  <c r="C52" i="4"/>
  <c r="B52" i="4"/>
  <c r="AP51" i="4"/>
  <c r="S51" i="4"/>
  <c r="O51" i="4"/>
  <c r="N51" i="4"/>
  <c r="C51" i="4"/>
  <c r="AP50" i="4"/>
  <c r="S50" i="4"/>
  <c r="O50" i="4"/>
  <c r="C50" i="4"/>
  <c r="AP49" i="4"/>
  <c r="S49" i="4"/>
  <c r="O49" i="4"/>
  <c r="N49" i="4"/>
  <c r="C49" i="4"/>
  <c r="AP48" i="4"/>
  <c r="S48" i="4"/>
  <c r="O48" i="4"/>
  <c r="C48" i="4"/>
  <c r="AP47" i="4"/>
  <c r="S47" i="4"/>
  <c r="O47" i="4"/>
  <c r="N47" i="4"/>
  <c r="AP46" i="4"/>
  <c r="S46" i="4"/>
  <c r="O46" i="4"/>
  <c r="AP45" i="4"/>
  <c r="S45" i="4"/>
  <c r="O45" i="4"/>
  <c r="AP44" i="4"/>
  <c r="S44" i="4"/>
  <c r="O44" i="4"/>
  <c r="N44" i="4"/>
  <c r="B44" i="4"/>
  <c r="AP43" i="4"/>
  <c r="S43" i="4"/>
  <c r="O43" i="4"/>
  <c r="N43" i="4"/>
  <c r="B43" i="4"/>
  <c r="AP42" i="4"/>
  <c r="S42" i="4"/>
  <c r="O42" i="4"/>
  <c r="N42" i="4"/>
  <c r="B42" i="4"/>
  <c r="AP41" i="4"/>
  <c r="S41" i="4"/>
  <c r="O41" i="4"/>
  <c r="N41" i="4"/>
  <c r="B41" i="4"/>
  <c r="AP40" i="4"/>
  <c r="S40" i="4"/>
  <c r="O40" i="4"/>
  <c r="N40" i="4"/>
  <c r="B40" i="4"/>
  <c r="B45" i="4" s="1"/>
  <c r="AP39" i="4"/>
  <c r="S39" i="4"/>
  <c r="O39" i="4"/>
  <c r="N39" i="4"/>
  <c r="AP38" i="4"/>
  <c r="S38" i="4"/>
  <c r="O38" i="4"/>
  <c r="N38" i="4"/>
  <c r="AP37" i="4"/>
  <c r="S37" i="4"/>
  <c r="O37" i="4"/>
  <c r="N37" i="4"/>
  <c r="AP36" i="4"/>
  <c r="S36" i="4"/>
  <c r="O36" i="4"/>
  <c r="N36" i="4"/>
  <c r="AP35" i="4"/>
  <c r="S35" i="4"/>
  <c r="O35" i="4"/>
  <c r="N35" i="4"/>
  <c r="AP34" i="4"/>
  <c r="S34" i="4"/>
  <c r="O34" i="4"/>
  <c r="N34" i="4"/>
  <c r="AP33" i="4"/>
  <c r="S33" i="4"/>
  <c r="O33" i="4"/>
  <c r="N33" i="4"/>
  <c r="AP32" i="4"/>
  <c r="S32" i="4"/>
  <c r="O32" i="4"/>
  <c r="N32" i="4"/>
  <c r="AP31" i="4"/>
  <c r="S31" i="4"/>
  <c r="O31" i="4"/>
  <c r="N31" i="4"/>
  <c r="AP30" i="4"/>
  <c r="S30" i="4"/>
  <c r="O30" i="4"/>
  <c r="N30" i="4"/>
  <c r="AP29" i="4"/>
  <c r="S29" i="4"/>
  <c r="O29" i="4"/>
  <c r="N29" i="4"/>
  <c r="AP28" i="4"/>
  <c r="S28" i="4"/>
  <c r="O28" i="4"/>
  <c r="N28" i="4"/>
  <c r="AP27" i="4"/>
  <c r="S27" i="4"/>
  <c r="O27" i="4"/>
  <c r="N27" i="4"/>
  <c r="AP26" i="4"/>
  <c r="S26" i="4"/>
  <c r="O26" i="4"/>
  <c r="N26" i="4"/>
  <c r="AP25" i="4"/>
  <c r="S25" i="4"/>
  <c r="O25" i="4"/>
  <c r="N25" i="4"/>
  <c r="AP24" i="4"/>
  <c r="S24" i="4"/>
  <c r="O24" i="4"/>
  <c r="N24" i="4"/>
  <c r="AP23" i="4"/>
  <c r="S23" i="4"/>
  <c r="O23" i="4"/>
  <c r="N23" i="4"/>
  <c r="AP22" i="4"/>
  <c r="S22" i="4"/>
  <c r="O22" i="4"/>
  <c r="N22" i="4"/>
  <c r="AP21" i="4"/>
  <c r="S21" i="4"/>
  <c r="O21" i="4"/>
  <c r="N21" i="4"/>
  <c r="B21" i="4"/>
  <c r="AP20" i="4"/>
  <c r="S20" i="4"/>
  <c r="O20" i="4"/>
  <c r="N20" i="4"/>
  <c r="B20" i="4"/>
  <c r="AP19" i="4"/>
  <c r="S19" i="4"/>
  <c r="O19" i="4"/>
  <c r="N19" i="4"/>
  <c r="AP18" i="4"/>
  <c r="S18" i="4"/>
  <c r="O18" i="4"/>
  <c r="N18" i="4"/>
  <c r="AP17" i="4"/>
  <c r="S17" i="4"/>
  <c r="O17" i="4"/>
  <c r="N17" i="4"/>
  <c r="AP16" i="4"/>
  <c r="S16" i="4"/>
  <c r="O16" i="4"/>
  <c r="N16" i="4"/>
  <c r="AP15" i="4"/>
  <c r="S15" i="4"/>
  <c r="O15" i="4"/>
  <c r="N15" i="4"/>
  <c r="AP14" i="4"/>
  <c r="S14" i="4"/>
  <c r="O14" i="4"/>
  <c r="N14" i="4"/>
  <c r="A14" i="4"/>
  <c r="AP13" i="4"/>
  <c r="S13" i="4"/>
  <c r="O13" i="4"/>
  <c r="N13" i="4"/>
  <c r="C13" i="4"/>
  <c r="AP12" i="4"/>
  <c r="S12" i="4"/>
  <c r="O12" i="4"/>
  <c r="N12" i="4"/>
  <c r="C12" i="4"/>
  <c r="AP11" i="4"/>
  <c r="S11" i="4"/>
  <c r="O11" i="4"/>
  <c r="N11" i="4"/>
  <c r="C11" i="4"/>
  <c r="AP10" i="4"/>
  <c r="S10" i="4"/>
  <c r="O10" i="4"/>
  <c r="N10" i="4"/>
  <c r="C10" i="4"/>
  <c r="C20" i="4" s="1"/>
  <c r="AP9" i="4"/>
  <c r="S9" i="4"/>
  <c r="O9" i="4"/>
  <c r="N9" i="4"/>
  <c r="C9" i="4"/>
  <c r="AP8" i="4"/>
  <c r="S8" i="4"/>
  <c r="O8" i="4"/>
  <c r="N8" i="4"/>
  <c r="C8" i="4"/>
  <c r="AP7" i="4"/>
  <c r="S7" i="4"/>
  <c r="O7" i="4"/>
  <c r="N7" i="4"/>
  <c r="AP6" i="4"/>
  <c r="S6" i="4"/>
  <c r="O6" i="4"/>
  <c r="N6" i="4"/>
  <c r="AP5" i="4"/>
  <c r="S5" i="4"/>
  <c r="O5" i="4"/>
  <c r="N5" i="4"/>
  <c r="AP4" i="4"/>
  <c r="S4" i="4"/>
  <c r="O4" i="4"/>
  <c r="N4" i="4"/>
  <c r="AE3" i="4"/>
  <c r="AQ3" i="4" s="1"/>
  <c r="X3" i="4"/>
  <c r="W3" i="4"/>
  <c r="V3" i="4"/>
  <c r="U3" i="4"/>
  <c r="T3" i="4"/>
  <c r="AQ1" i="4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C21" i="4" l="1"/>
  <c r="AS2" i="4"/>
  <c r="P32" i="4"/>
  <c r="L5" i="4"/>
  <c r="P39" i="4"/>
  <c r="P43" i="4"/>
  <c r="P5" i="4"/>
  <c r="P24" i="4"/>
  <c r="P38" i="4"/>
  <c r="P68" i="4"/>
  <c r="AR2" i="4"/>
  <c r="P35" i="4"/>
  <c r="B33" i="4"/>
  <c r="C14" i="4"/>
  <c r="P87" i="4"/>
  <c r="L93" i="4"/>
  <c r="S94" i="4"/>
  <c r="P27" i="4"/>
  <c r="L35" i="4"/>
  <c r="P52" i="4"/>
  <c r="P56" i="4"/>
  <c r="P17" i="4"/>
  <c r="K94" i="4"/>
  <c r="L9" i="4" s="1"/>
  <c r="P70" i="4"/>
  <c r="AP94" i="4"/>
  <c r="N94" i="4"/>
  <c r="C22" i="4"/>
  <c r="P88" i="4"/>
  <c r="P90" i="4"/>
  <c r="O94" i="4"/>
  <c r="L30" i="4"/>
  <c r="P76" i="4"/>
  <c r="P82" i="4"/>
  <c r="P44" i="4"/>
  <c r="P49" i="4"/>
  <c r="P80" i="4"/>
  <c r="N90" i="4"/>
  <c r="N82" i="4"/>
  <c r="N74" i="4"/>
  <c r="N62" i="4"/>
  <c r="N57" i="4"/>
  <c r="N52" i="4"/>
  <c r="N89" i="4"/>
  <c r="N81" i="4"/>
  <c r="N73" i="4"/>
  <c r="N66" i="4"/>
  <c r="N61" i="4"/>
  <c r="N48" i="4"/>
  <c r="N88" i="4"/>
  <c r="N80" i="4"/>
  <c r="N72" i="4"/>
  <c r="N65" i="4"/>
  <c r="N60" i="4"/>
  <c r="N56" i="4"/>
  <c r="N86" i="4"/>
  <c r="N78" i="4"/>
  <c r="N70" i="4"/>
  <c r="N64" i="4"/>
  <c r="N59" i="4"/>
  <c r="N55" i="4"/>
  <c r="N46" i="4"/>
  <c r="N93" i="4"/>
  <c r="N85" i="4"/>
  <c r="N77" i="4"/>
  <c r="N69" i="4"/>
  <c r="N50" i="4"/>
  <c r="N45" i="4"/>
  <c r="P53" i="4"/>
  <c r="L59" i="4"/>
  <c r="L66" i="4"/>
  <c r="L55" i="4"/>
  <c r="P58" i="4"/>
  <c r="N92" i="4"/>
  <c r="P46" i="4"/>
  <c r="P55" i="4"/>
  <c r="L61" i="4"/>
  <c r="N84" i="4"/>
  <c r="L87" i="4"/>
  <c r="P92" i="4"/>
  <c r="P84" i="4"/>
  <c r="D96" i="1"/>
  <c r="AM94" i="1"/>
  <c r="AL94" i="1"/>
  <c r="AK94" i="1"/>
  <c r="AJ94" i="1"/>
  <c r="AI94" i="1"/>
  <c r="AH94" i="1"/>
  <c r="AG94" i="1"/>
  <c r="AF94" i="1"/>
  <c r="R94" i="1"/>
  <c r="S93" i="1" s="1"/>
  <c r="M94" i="1"/>
  <c r="N56" i="1" s="1"/>
  <c r="J94" i="1"/>
  <c r="I94" i="1"/>
  <c r="H94" i="1"/>
  <c r="G94" i="1"/>
  <c r="F94" i="1"/>
  <c r="E94" i="1"/>
  <c r="AP93" i="1"/>
  <c r="O93" i="1"/>
  <c r="AP92" i="1"/>
  <c r="O92" i="1"/>
  <c r="AP91" i="1"/>
  <c r="O91" i="1"/>
  <c r="AP90" i="1"/>
  <c r="O90" i="1"/>
  <c r="AP89" i="1"/>
  <c r="O89" i="1"/>
  <c r="AP88" i="1"/>
  <c r="O88" i="1"/>
  <c r="AP87" i="1"/>
  <c r="O87" i="1"/>
  <c r="AP86" i="1"/>
  <c r="O86" i="1"/>
  <c r="AP85" i="1"/>
  <c r="O85" i="1"/>
  <c r="AP84" i="1"/>
  <c r="O84" i="1"/>
  <c r="AP83" i="1"/>
  <c r="O83" i="1"/>
  <c r="AP82" i="1"/>
  <c r="S82" i="1"/>
  <c r="O82" i="1"/>
  <c r="AP81" i="1"/>
  <c r="O81" i="1"/>
  <c r="AP80" i="1"/>
  <c r="S80" i="1"/>
  <c r="O80" i="1"/>
  <c r="AP79" i="1"/>
  <c r="O79" i="1"/>
  <c r="AP78" i="1"/>
  <c r="S78" i="1"/>
  <c r="O78" i="1"/>
  <c r="AP77" i="1"/>
  <c r="O77" i="1"/>
  <c r="AP76" i="1"/>
  <c r="O76" i="1"/>
  <c r="AP75" i="1"/>
  <c r="O75" i="1"/>
  <c r="AP74" i="1"/>
  <c r="O74" i="1"/>
  <c r="AP73" i="1"/>
  <c r="O73" i="1"/>
  <c r="AP72" i="1"/>
  <c r="S72" i="1"/>
  <c r="O72" i="1"/>
  <c r="AP71" i="1"/>
  <c r="O71" i="1"/>
  <c r="AP70" i="1"/>
  <c r="S70" i="1"/>
  <c r="O70" i="1"/>
  <c r="AP69" i="1"/>
  <c r="O69" i="1"/>
  <c r="AP68" i="1"/>
  <c r="O68" i="1"/>
  <c r="AP67" i="1"/>
  <c r="O67" i="1"/>
  <c r="B67" i="1"/>
  <c r="C64" i="1" s="1"/>
  <c r="AP66" i="1"/>
  <c r="O66" i="1"/>
  <c r="AP65" i="1"/>
  <c r="S65" i="1"/>
  <c r="O65" i="1"/>
  <c r="AP64" i="1"/>
  <c r="S64" i="1"/>
  <c r="O64" i="1"/>
  <c r="AP63" i="1"/>
  <c r="O63" i="1"/>
  <c r="N63" i="1"/>
  <c r="AP62" i="1"/>
  <c r="S62" i="1"/>
  <c r="O62" i="1"/>
  <c r="AP61" i="1"/>
  <c r="O61" i="1"/>
  <c r="AP60" i="1"/>
  <c r="S60" i="1"/>
  <c r="O60" i="1"/>
  <c r="B60" i="1"/>
  <c r="C58" i="1" s="1"/>
  <c r="AP59" i="1"/>
  <c r="O59" i="1"/>
  <c r="AP58" i="1"/>
  <c r="S58" i="1"/>
  <c r="O58" i="1"/>
  <c r="N58" i="1"/>
  <c r="AP57" i="1"/>
  <c r="O57" i="1"/>
  <c r="AP56" i="1"/>
  <c r="S56" i="1"/>
  <c r="O56" i="1"/>
  <c r="AP55" i="1"/>
  <c r="S55" i="1"/>
  <c r="O55" i="1"/>
  <c r="N55" i="1"/>
  <c r="C55" i="1"/>
  <c r="AP54" i="1"/>
  <c r="O54" i="1"/>
  <c r="AP53" i="1"/>
  <c r="S53" i="1"/>
  <c r="O53" i="1"/>
  <c r="AP52" i="1"/>
  <c r="S52" i="1"/>
  <c r="O52" i="1"/>
  <c r="B52" i="1"/>
  <c r="C50" i="1" s="1"/>
  <c r="AP51" i="1"/>
  <c r="S51" i="1"/>
  <c r="O51" i="1"/>
  <c r="AP50" i="1"/>
  <c r="S50" i="1"/>
  <c r="O50" i="1"/>
  <c r="AP49" i="1"/>
  <c r="O49" i="1"/>
  <c r="C49" i="1"/>
  <c r="AP48" i="1"/>
  <c r="S48" i="1"/>
  <c r="O48" i="1"/>
  <c r="N48" i="1"/>
  <c r="AP47" i="1"/>
  <c r="S47" i="1"/>
  <c r="O47" i="1"/>
  <c r="AP46" i="1"/>
  <c r="O46" i="1"/>
  <c r="AP45" i="1"/>
  <c r="S45" i="1"/>
  <c r="O45" i="1"/>
  <c r="AP44" i="1"/>
  <c r="S44" i="1"/>
  <c r="O44" i="1"/>
  <c r="B44" i="1"/>
  <c r="AP43" i="1"/>
  <c r="S43" i="1"/>
  <c r="O43" i="1"/>
  <c r="B43" i="1"/>
  <c r="AP42" i="1"/>
  <c r="S42" i="1"/>
  <c r="O42" i="1"/>
  <c r="B42" i="1"/>
  <c r="AP41" i="1"/>
  <c r="S41" i="1"/>
  <c r="O41" i="1"/>
  <c r="B41" i="1"/>
  <c r="AP40" i="1"/>
  <c r="S40" i="1"/>
  <c r="O40" i="1"/>
  <c r="B40" i="1"/>
  <c r="AP39" i="1"/>
  <c r="S39" i="1"/>
  <c r="O39" i="1"/>
  <c r="N39" i="1"/>
  <c r="AP38" i="1"/>
  <c r="S38" i="1"/>
  <c r="O38" i="1"/>
  <c r="AP37" i="1"/>
  <c r="S37" i="1"/>
  <c r="O37" i="1"/>
  <c r="AP36" i="1"/>
  <c r="O36" i="1"/>
  <c r="N36" i="1"/>
  <c r="AP35" i="1"/>
  <c r="S35" i="1"/>
  <c r="O35" i="1"/>
  <c r="AP34" i="1"/>
  <c r="S34" i="1"/>
  <c r="O34" i="1"/>
  <c r="AP33" i="1"/>
  <c r="O33" i="1"/>
  <c r="AP32" i="1"/>
  <c r="S32" i="1"/>
  <c r="O32" i="1"/>
  <c r="AP31" i="1"/>
  <c r="S31" i="1"/>
  <c r="O31" i="1"/>
  <c r="N31" i="1"/>
  <c r="AP30" i="1"/>
  <c r="S30" i="1"/>
  <c r="O30" i="1"/>
  <c r="AP29" i="1"/>
  <c r="S29" i="1"/>
  <c r="O29" i="1"/>
  <c r="N29" i="1"/>
  <c r="AP28" i="1"/>
  <c r="S28" i="1"/>
  <c r="O28" i="1"/>
  <c r="AP27" i="1"/>
  <c r="S27" i="1"/>
  <c r="O27" i="1"/>
  <c r="N27" i="1"/>
  <c r="AP26" i="1"/>
  <c r="S26" i="1"/>
  <c r="O26" i="1"/>
  <c r="AP25" i="1"/>
  <c r="S25" i="1"/>
  <c r="O25" i="1"/>
  <c r="N25" i="1"/>
  <c r="AP24" i="1"/>
  <c r="S24" i="1"/>
  <c r="O24" i="1"/>
  <c r="AP23" i="1"/>
  <c r="S23" i="1"/>
  <c r="O23" i="1"/>
  <c r="N23" i="1"/>
  <c r="AP22" i="1"/>
  <c r="S22" i="1"/>
  <c r="O22" i="1"/>
  <c r="N22" i="1"/>
  <c r="AP21" i="1"/>
  <c r="S21" i="1"/>
  <c r="O21" i="1"/>
  <c r="B21" i="1"/>
  <c r="AP20" i="1"/>
  <c r="S20" i="1"/>
  <c r="O20" i="1"/>
  <c r="N20" i="1"/>
  <c r="B20" i="1"/>
  <c r="AP19" i="1"/>
  <c r="S19" i="1"/>
  <c r="O19" i="1"/>
  <c r="N19" i="1"/>
  <c r="AP18" i="1"/>
  <c r="S18" i="1"/>
  <c r="O18" i="1"/>
  <c r="N18" i="1"/>
  <c r="AP17" i="1"/>
  <c r="S17" i="1"/>
  <c r="O17" i="1"/>
  <c r="AP16" i="1"/>
  <c r="S16" i="1"/>
  <c r="O16" i="1"/>
  <c r="N16" i="1"/>
  <c r="AP15" i="1"/>
  <c r="S15" i="1"/>
  <c r="O15" i="1"/>
  <c r="N15" i="1"/>
  <c r="AP14" i="1"/>
  <c r="S14" i="1"/>
  <c r="O14" i="1"/>
  <c r="N14" i="1"/>
  <c r="A14" i="1"/>
  <c r="AP13" i="1"/>
  <c r="S13" i="1"/>
  <c r="O13" i="1"/>
  <c r="N13" i="1"/>
  <c r="C13" i="1"/>
  <c r="AP12" i="1"/>
  <c r="S12" i="1"/>
  <c r="O12" i="1"/>
  <c r="C12" i="1"/>
  <c r="AP11" i="1"/>
  <c r="S11" i="1"/>
  <c r="O11" i="1"/>
  <c r="N11" i="1"/>
  <c r="C11" i="1"/>
  <c r="AP10" i="1"/>
  <c r="S10" i="1"/>
  <c r="O10" i="1"/>
  <c r="N10" i="1"/>
  <c r="C10" i="1"/>
  <c r="AP9" i="1"/>
  <c r="S9" i="1"/>
  <c r="O9" i="1"/>
  <c r="N9" i="1"/>
  <c r="C9" i="1"/>
  <c r="AP8" i="1"/>
  <c r="S8" i="1"/>
  <c r="O8" i="1"/>
  <c r="C8" i="1"/>
  <c r="B33" i="1" s="1"/>
  <c r="AP7" i="1"/>
  <c r="S7" i="1"/>
  <c r="O7" i="1"/>
  <c r="N7" i="1"/>
  <c r="AP6" i="1"/>
  <c r="S6" i="1"/>
  <c r="O6" i="1"/>
  <c r="N6" i="1"/>
  <c r="AP5" i="1"/>
  <c r="S5" i="1"/>
  <c r="O5" i="1"/>
  <c r="N5" i="1"/>
  <c r="AP4" i="1"/>
  <c r="S4" i="1"/>
  <c r="O4" i="1"/>
  <c r="N4" i="1"/>
  <c r="AE3" i="1"/>
  <c r="AQ3" i="1" s="1"/>
  <c r="X3" i="1"/>
  <c r="W3" i="1"/>
  <c r="V3" i="1"/>
  <c r="U3" i="1"/>
  <c r="T3" i="1"/>
  <c r="AQ1" i="1"/>
  <c r="L73" i="4" l="1"/>
  <c r="U73" i="4" s="1"/>
  <c r="L85" i="4"/>
  <c r="L83" i="4"/>
  <c r="L22" i="4"/>
  <c r="L25" i="4"/>
  <c r="L79" i="4"/>
  <c r="L67" i="4"/>
  <c r="L41" i="4"/>
  <c r="L10" i="4"/>
  <c r="L37" i="4"/>
  <c r="L13" i="4"/>
  <c r="L51" i="4"/>
  <c r="L32" i="4"/>
  <c r="L29" i="4"/>
  <c r="T29" i="4" s="1"/>
  <c r="L21" i="4"/>
  <c r="L47" i="4"/>
  <c r="T66" i="4"/>
  <c r="P54" i="4"/>
  <c r="P93" i="4"/>
  <c r="P66" i="4"/>
  <c r="P50" i="4"/>
  <c r="P73" i="4"/>
  <c r="P81" i="4"/>
  <c r="P40" i="4"/>
  <c r="P34" i="4"/>
  <c r="P28" i="4"/>
  <c r="P21" i="4"/>
  <c r="P89" i="4"/>
  <c r="P61" i="4"/>
  <c r="T61" i="4" s="1"/>
  <c r="P36" i="4"/>
  <c r="P26" i="4"/>
  <c r="P16" i="4"/>
  <c r="P9" i="4"/>
  <c r="P77" i="4"/>
  <c r="P62" i="4"/>
  <c r="P45" i="4"/>
  <c r="P31" i="4"/>
  <c r="P23" i="4"/>
  <c r="P85" i="4"/>
  <c r="P13" i="4"/>
  <c r="P69" i="4"/>
  <c r="P19" i="4"/>
  <c r="P57" i="4"/>
  <c r="P15" i="4"/>
  <c r="P48" i="4"/>
  <c r="P4" i="4"/>
  <c r="P6" i="4"/>
  <c r="P29" i="4"/>
  <c r="P30" i="4"/>
  <c r="B34" i="4"/>
  <c r="U59" i="4" s="1"/>
  <c r="B35" i="4"/>
  <c r="P33" i="4"/>
  <c r="L19" i="4"/>
  <c r="P8" i="4"/>
  <c r="T85" i="4"/>
  <c r="L86" i="4"/>
  <c r="P83" i="4"/>
  <c r="L46" i="4"/>
  <c r="L74" i="4"/>
  <c r="L49" i="4"/>
  <c r="P74" i="4"/>
  <c r="L24" i="4"/>
  <c r="L4" i="4"/>
  <c r="P12" i="4"/>
  <c r="P51" i="4"/>
  <c r="P22" i="4"/>
  <c r="T22" i="4" s="1"/>
  <c r="P79" i="4"/>
  <c r="P18" i="4"/>
  <c r="P78" i="4"/>
  <c r="P67" i="4"/>
  <c r="P14" i="4"/>
  <c r="P91" i="4"/>
  <c r="L91" i="4"/>
  <c r="L82" i="4"/>
  <c r="L57" i="4"/>
  <c r="L76" i="4"/>
  <c r="L60" i="4"/>
  <c r="L38" i="4"/>
  <c r="L84" i="4"/>
  <c r="L92" i="4"/>
  <c r="L65" i="4"/>
  <c r="L54" i="4"/>
  <c r="L50" i="4"/>
  <c r="L36" i="4"/>
  <c r="L31" i="4"/>
  <c r="L23" i="4"/>
  <c r="L72" i="4"/>
  <c r="L58" i="4"/>
  <c r="L69" i="4"/>
  <c r="L27" i="4"/>
  <c r="L15" i="4"/>
  <c r="L6" i="4"/>
  <c r="L43" i="4"/>
  <c r="L39" i="4"/>
  <c r="L20" i="4"/>
  <c r="L88" i="4"/>
  <c r="L80" i="4"/>
  <c r="L77" i="4"/>
  <c r="L26" i="4"/>
  <c r="L68" i="4"/>
  <c r="L14" i="4"/>
  <c r="L18" i="4"/>
  <c r="L11" i="4"/>
  <c r="L56" i="4"/>
  <c r="L40" i="4"/>
  <c r="L17" i="4"/>
  <c r="L44" i="4"/>
  <c r="L8" i="4"/>
  <c r="L63" i="4"/>
  <c r="L33" i="4"/>
  <c r="L12" i="4"/>
  <c r="L7" i="4"/>
  <c r="L89" i="4"/>
  <c r="L48" i="4"/>
  <c r="L71" i="4"/>
  <c r="L34" i="4"/>
  <c r="P47" i="4"/>
  <c r="L28" i="4"/>
  <c r="L64" i="4"/>
  <c r="P7" i="4"/>
  <c r="U93" i="4"/>
  <c r="P75" i="4"/>
  <c r="P65" i="4"/>
  <c r="L75" i="4"/>
  <c r="P64" i="4"/>
  <c r="P41" i="4"/>
  <c r="L53" i="4"/>
  <c r="L81" i="4"/>
  <c r="L42" i="4"/>
  <c r="P60" i="4"/>
  <c r="P20" i="4"/>
  <c r="P71" i="4"/>
  <c r="P25" i="4"/>
  <c r="P42" i="4"/>
  <c r="P11" i="4"/>
  <c r="U51" i="4"/>
  <c r="T51" i="4"/>
  <c r="P86" i="4"/>
  <c r="L62" i="4"/>
  <c r="P59" i="4"/>
  <c r="T59" i="4" s="1"/>
  <c r="P72" i="4"/>
  <c r="P63" i="4"/>
  <c r="L90" i="4"/>
  <c r="L70" i="4"/>
  <c r="L78" i="4"/>
  <c r="L52" i="4"/>
  <c r="L16" i="4"/>
  <c r="L45" i="4"/>
  <c r="P10" i="4"/>
  <c r="P37" i="4"/>
  <c r="N30" i="1"/>
  <c r="N41" i="1"/>
  <c r="N54" i="1"/>
  <c r="N74" i="1"/>
  <c r="N26" i="1"/>
  <c r="N35" i="1"/>
  <c r="N43" i="1"/>
  <c r="N45" i="1"/>
  <c r="N50" i="1"/>
  <c r="N52" i="1"/>
  <c r="N33" i="1"/>
  <c r="N38" i="1"/>
  <c r="S36" i="1"/>
  <c r="S49" i="1"/>
  <c r="S57" i="1"/>
  <c r="S66" i="1"/>
  <c r="S87" i="1"/>
  <c r="S89" i="1"/>
  <c r="S54" i="1"/>
  <c r="C56" i="1"/>
  <c r="S59" i="1"/>
  <c r="S74" i="1"/>
  <c r="S85" i="1"/>
  <c r="S33" i="1"/>
  <c r="S46" i="1"/>
  <c r="N53" i="1"/>
  <c r="S61" i="1"/>
  <c r="N65" i="1"/>
  <c r="N73" i="1"/>
  <c r="S63" i="1"/>
  <c r="S69" i="1"/>
  <c r="S71" i="1"/>
  <c r="S77" i="1"/>
  <c r="S79" i="1"/>
  <c r="S81" i="1"/>
  <c r="K94" i="1"/>
  <c r="L23" i="1" s="1"/>
  <c r="S73" i="1"/>
  <c r="S88" i="1"/>
  <c r="C48" i="1"/>
  <c r="C51" i="1"/>
  <c r="B45" i="1"/>
  <c r="C57" i="1"/>
  <c r="AR2" i="1"/>
  <c r="C14" i="1"/>
  <c r="C59" i="1"/>
  <c r="C21" i="1"/>
  <c r="AP94" i="1"/>
  <c r="AS2" i="1"/>
  <c r="B35" i="1"/>
  <c r="B34" i="1"/>
  <c r="C63" i="1"/>
  <c r="C20" i="1" s="1"/>
  <c r="C65" i="1"/>
  <c r="C22" i="1" s="1"/>
  <c r="O94" i="1"/>
  <c r="P29" i="1" s="1"/>
  <c r="N8" i="1"/>
  <c r="N12" i="1"/>
  <c r="N17" i="1"/>
  <c r="N21" i="1"/>
  <c r="N28" i="1"/>
  <c r="N34" i="1"/>
  <c r="N40" i="1"/>
  <c r="N62" i="1"/>
  <c r="N76" i="1"/>
  <c r="N90" i="1"/>
  <c r="C52" i="1"/>
  <c r="N49" i="1"/>
  <c r="N75" i="1"/>
  <c r="N24" i="1"/>
  <c r="N32" i="1"/>
  <c r="N37" i="1"/>
  <c r="N42" i="1"/>
  <c r="N44" i="1"/>
  <c r="N93" i="1"/>
  <c r="N85" i="1"/>
  <c r="N89" i="1"/>
  <c r="N87" i="1"/>
  <c r="N79" i="1"/>
  <c r="N71" i="1"/>
  <c r="N86" i="1"/>
  <c r="N78" i="1"/>
  <c r="N70" i="1"/>
  <c r="N64" i="1"/>
  <c r="N92" i="1"/>
  <c r="N82" i="1"/>
  <c r="N67" i="1"/>
  <c r="N61" i="1"/>
  <c r="N88" i="1"/>
  <c r="N84" i="1"/>
  <c r="N83" i="1"/>
  <c r="N81" i="1"/>
  <c r="N68" i="1"/>
  <c r="N77" i="1"/>
  <c r="N57" i="1"/>
  <c r="N51" i="1"/>
  <c r="N47" i="1"/>
  <c r="N91" i="1"/>
  <c r="N80" i="1"/>
  <c r="N72" i="1"/>
  <c r="N69" i="1"/>
  <c r="N66" i="1"/>
  <c r="N60" i="1"/>
  <c r="N46" i="1"/>
  <c r="N59" i="1"/>
  <c r="S90" i="1"/>
  <c r="S86" i="1"/>
  <c r="S92" i="1"/>
  <c r="S84" i="1"/>
  <c r="S76" i="1"/>
  <c r="S68" i="1"/>
  <c r="S91" i="1"/>
  <c r="S83" i="1"/>
  <c r="S75" i="1"/>
  <c r="S67" i="1"/>
  <c r="T93" i="4" l="1"/>
  <c r="U47" i="4"/>
  <c r="T41" i="4"/>
  <c r="T21" i="4"/>
  <c r="U67" i="4"/>
  <c r="T25" i="4"/>
  <c r="T9" i="4"/>
  <c r="T30" i="4"/>
  <c r="T13" i="4"/>
  <c r="U83" i="4"/>
  <c r="U87" i="4"/>
  <c r="T5" i="4"/>
  <c r="T10" i="4"/>
  <c r="T73" i="4"/>
  <c r="T47" i="4"/>
  <c r="U21" i="4"/>
  <c r="T83" i="4"/>
  <c r="T37" i="4"/>
  <c r="T90" i="4"/>
  <c r="U90" i="4"/>
  <c r="U68" i="4"/>
  <c r="T68" i="4"/>
  <c r="U76" i="4"/>
  <c r="T76" i="4"/>
  <c r="T46" i="4"/>
  <c r="U46" i="4"/>
  <c r="T78" i="4"/>
  <c r="U78" i="4"/>
  <c r="T28" i="4"/>
  <c r="U28" i="4"/>
  <c r="U33" i="4"/>
  <c r="T33" i="4"/>
  <c r="U18" i="4"/>
  <c r="T18" i="4"/>
  <c r="U39" i="4"/>
  <c r="T39" i="4"/>
  <c r="T23" i="4"/>
  <c r="U23" i="4"/>
  <c r="U38" i="4"/>
  <c r="T38" i="4"/>
  <c r="U49" i="4"/>
  <c r="T49" i="4"/>
  <c r="T79" i="4"/>
  <c r="T32" i="4"/>
  <c r="T70" i="4"/>
  <c r="U70" i="4"/>
  <c r="U29" i="4"/>
  <c r="U63" i="4"/>
  <c r="T63" i="4"/>
  <c r="U14" i="4"/>
  <c r="T14" i="4"/>
  <c r="U43" i="4"/>
  <c r="T43" i="4"/>
  <c r="T31" i="4"/>
  <c r="U31" i="4"/>
  <c r="U60" i="4"/>
  <c r="T60" i="4"/>
  <c r="T67" i="4"/>
  <c r="T87" i="4"/>
  <c r="T74" i="4"/>
  <c r="U74" i="4"/>
  <c r="U41" i="4"/>
  <c r="U79" i="4"/>
  <c r="U32" i="4"/>
  <c r="U42" i="4"/>
  <c r="T42" i="4"/>
  <c r="T8" i="4"/>
  <c r="U8" i="4"/>
  <c r="U6" i="4"/>
  <c r="T6" i="4"/>
  <c r="U81" i="4"/>
  <c r="T81" i="4"/>
  <c r="U71" i="4"/>
  <c r="T71" i="4"/>
  <c r="U44" i="4"/>
  <c r="T44" i="4"/>
  <c r="U26" i="4"/>
  <c r="T26" i="4"/>
  <c r="U15" i="4"/>
  <c r="T15" i="4"/>
  <c r="U50" i="4"/>
  <c r="T50" i="4"/>
  <c r="T57" i="4"/>
  <c r="U57" i="4"/>
  <c r="U30" i="4"/>
  <c r="U5" i="4"/>
  <c r="U66" i="4"/>
  <c r="U53" i="4"/>
  <c r="T53" i="4"/>
  <c r="U48" i="4"/>
  <c r="T48" i="4"/>
  <c r="U17" i="4"/>
  <c r="T17" i="4"/>
  <c r="U77" i="4"/>
  <c r="T77" i="4"/>
  <c r="U27" i="4"/>
  <c r="T27" i="4"/>
  <c r="U54" i="4"/>
  <c r="T54" i="4"/>
  <c r="T82" i="4"/>
  <c r="U82" i="4"/>
  <c r="U13" i="4"/>
  <c r="U22" i="4"/>
  <c r="T86" i="4"/>
  <c r="U86" i="4"/>
  <c r="T40" i="4"/>
  <c r="U40" i="4"/>
  <c r="U65" i="4"/>
  <c r="T65" i="4"/>
  <c r="V11" i="4"/>
  <c r="V7" i="4"/>
  <c r="V5" i="4"/>
  <c r="V4" i="4"/>
  <c r="V13" i="4"/>
  <c r="V12" i="4"/>
  <c r="V17" i="4"/>
  <c r="V93" i="4"/>
  <c r="V59" i="4"/>
  <c r="V27" i="4"/>
  <c r="V55" i="4"/>
  <c r="V41" i="4"/>
  <c r="V34" i="4"/>
  <c r="V16" i="4"/>
  <c r="V9" i="4"/>
  <c r="V50" i="4"/>
  <c r="V29" i="4"/>
  <c r="V85" i="4"/>
  <c r="V8" i="4"/>
  <c r="V46" i="4"/>
  <c r="V84" i="4"/>
  <c r="V75" i="4"/>
  <c r="V57" i="4"/>
  <c r="V87" i="4"/>
  <c r="V43" i="4"/>
  <c r="V14" i="4"/>
  <c r="V78" i="4"/>
  <c r="V40" i="4"/>
  <c r="V23" i="4"/>
  <c r="V82" i="4"/>
  <c r="V86" i="4"/>
  <c r="V18" i="4"/>
  <c r="V76" i="4"/>
  <c r="V67" i="4"/>
  <c r="V52" i="4"/>
  <c r="V79" i="4"/>
  <c r="V39" i="4"/>
  <c r="V70" i="4"/>
  <c r="V77" i="4"/>
  <c r="V90" i="4"/>
  <c r="V21" i="4"/>
  <c r="V68" i="4"/>
  <c r="V53" i="4"/>
  <c r="V88" i="4"/>
  <c r="V71" i="4"/>
  <c r="V33" i="4"/>
  <c r="V69" i="4"/>
  <c r="V36" i="4"/>
  <c r="V45" i="4"/>
  <c r="V15" i="4"/>
  <c r="V22" i="4"/>
  <c r="V10" i="4"/>
  <c r="V58" i="4"/>
  <c r="V72" i="4"/>
  <c r="V47" i="4"/>
  <c r="V42" i="4"/>
  <c r="V38" i="4"/>
  <c r="V19" i="4"/>
  <c r="V63" i="4"/>
  <c r="V49" i="4"/>
  <c r="V80" i="4"/>
  <c r="V51" i="4"/>
  <c r="V26" i="4"/>
  <c r="V48" i="4"/>
  <c r="V31" i="4"/>
  <c r="V89" i="4"/>
  <c r="V65" i="4"/>
  <c r="V61" i="4"/>
  <c r="V91" i="4"/>
  <c r="V74" i="4"/>
  <c r="V60" i="4"/>
  <c r="V64" i="4"/>
  <c r="V25" i="4"/>
  <c r="V32" i="4"/>
  <c r="V73" i="4"/>
  <c r="V66" i="4"/>
  <c r="V6" i="4"/>
  <c r="V92" i="4"/>
  <c r="V83" i="4"/>
  <c r="V62" i="4"/>
  <c r="V56" i="4"/>
  <c r="V44" i="4"/>
  <c r="V20" i="4"/>
  <c r="V24" i="4"/>
  <c r="V35" i="4"/>
  <c r="V30" i="4"/>
  <c r="V28" i="4"/>
  <c r="V54" i="4"/>
  <c r="V81" i="4"/>
  <c r="V37" i="4"/>
  <c r="U10" i="4"/>
  <c r="U61" i="4"/>
  <c r="T34" i="4"/>
  <c r="U34" i="4"/>
  <c r="T36" i="4"/>
  <c r="U36" i="4"/>
  <c r="U19" i="4"/>
  <c r="T19" i="4"/>
  <c r="U45" i="4"/>
  <c r="T45" i="4"/>
  <c r="U89" i="4"/>
  <c r="T89" i="4"/>
  <c r="U80" i="4"/>
  <c r="T80" i="4"/>
  <c r="U69" i="4"/>
  <c r="T69" i="4"/>
  <c r="U91" i="4"/>
  <c r="T91" i="4"/>
  <c r="L94" i="4"/>
  <c r="U4" i="4"/>
  <c r="T4" i="4"/>
  <c r="P94" i="4"/>
  <c r="T16" i="4"/>
  <c r="U16" i="4"/>
  <c r="T62" i="4"/>
  <c r="U62" i="4"/>
  <c r="U7" i="4"/>
  <c r="T7" i="4"/>
  <c r="U56" i="4"/>
  <c r="T56" i="4"/>
  <c r="U88" i="4"/>
  <c r="T88" i="4"/>
  <c r="U58" i="4"/>
  <c r="T58" i="4"/>
  <c r="U92" i="4"/>
  <c r="T92" i="4"/>
  <c r="U25" i="4"/>
  <c r="U24" i="4"/>
  <c r="T24" i="4"/>
  <c r="U85" i="4"/>
  <c r="U55" i="4"/>
  <c r="T35" i="4"/>
  <c r="U9" i="4"/>
  <c r="T52" i="4"/>
  <c r="U52" i="4"/>
  <c r="U75" i="4"/>
  <c r="T75" i="4"/>
  <c r="T64" i="4"/>
  <c r="U64" i="4"/>
  <c r="U12" i="4"/>
  <c r="T12" i="4"/>
  <c r="U11" i="4"/>
  <c r="T11" i="4"/>
  <c r="U20" i="4"/>
  <c r="T20" i="4"/>
  <c r="U72" i="4"/>
  <c r="T72" i="4"/>
  <c r="U84" i="4"/>
  <c r="T84" i="4"/>
  <c r="U37" i="4"/>
  <c r="T55" i="4"/>
  <c r="U35" i="4"/>
  <c r="L78" i="1"/>
  <c r="U78" i="1" s="1"/>
  <c r="L83" i="1"/>
  <c r="U83" i="1" s="1"/>
  <c r="L92" i="1"/>
  <c r="L68" i="1"/>
  <c r="L30" i="1"/>
  <c r="U30" i="1" s="1"/>
  <c r="L81" i="1"/>
  <c r="U81" i="1" s="1"/>
  <c r="L4" i="1"/>
  <c r="L67" i="1"/>
  <c r="L77" i="1"/>
  <c r="U77" i="1" s="1"/>
  <c r="L21" i="1"/>
  <c r="U21" i="1" s="1"/>
  <c r="L80" i="1"/>
  <c r="L58" i="1"/>
  <c r="U58" i="1" s="1"/>
  <c r="L42" i="1"/>
  <c r="L12" i="1"/>
  <c r="U12" i="1" s="1"/>
  <c r="L19" i="1"/>
  <c r="U19" i="1" s="1"/>
  <c r="L72" i="1"/>
  <c r="U72" i="1" s="1"/>
  <c r="L24" i="1"/>
  <c r="U24" i="1" s="1"/>
  <c r="L71" i="1"/>
  <c r="L70" i="1"/>
  <c r="L45" i="1"/>
  <c r="U45" i="1" s="1"/>
  <c r="L52" i="1"/>
  <c r="L62" i="1"/>
  <c r="U62" i="1" s="1"/>
  <c r="L65" i="1"/>
  <c r="U65" i="1" s="1"/>
  <c r="L40" i="1"/>
  <c r="U40" i="1" s="1"/>
  <c r="L43" i="1"/>
  <c r="L49" i="1"/>
  <c r="L20" i="1"/>
  <c r="L53" i="1"/>
  <c r="L85" i="1"/>
  <c r="U85" i="1" s="1"/>
  <c r="L37" i="1"/>
  <c r="U37" i="1" s="1"/>
  <c r="L73" i="1"/>
  <c r="U73" i="1" s="1"/>
  <c r="L50" i="1"/>
  <c r="U50" i="1" s="1"/>
  <c r="L90" i="1"/>
  <c r="U90" i="1" s="1"/>
  <c r="L56" i="1"/>
  <c r="U56" i="1" s="1"/>
  <c r="L15" i="1"/>
  <c r="L33" i="1"/>
  <c r="U33" i="1" s="1"/>
  <c r="L8" i="1"/>
  <c r="U8" i="1" s="1"/>
  <c r="L57" i="1"/>
  <c r="U57" i="1" s="1"/>
  <c r="L86" i="1"/>
  <c r="U86" i="1" s="1"/>
  <c r="L61" i="1"/>
  <c r="U61" i="1" s="1"/>
  <c r="L44" i="1"/>
  <c r="U44" i="1" s="1"/>
  <c r="L35" i="1"/>
  <c r="U35" i="1" s="1"/>
  <c r="L54" i="1"/>
  <c r="L46" i="1"/>
  <c r="U46" i="1" s="1"/>
  <c r="L89" i="1"/>
  <c r="U89" i="1" s="1"/>
  <c r="L88" i="1"/>
  <c r="U88" i="1" s="1"/>
  <c r="L17" i="1"/>
  <c r="U17" i="1" s="1"/>
  <c r="L13" i="1"/>
  <c r="U13" i="1" s="1"/>
  <c r="L7" i="1"/>
  <c r="U7" i="1" s="1"/>
  <c r="L9" i="1"/>
  <c r="U9" i="1" s="1"/>
  <c r="L74" i="1"/>
  <c r="L16" i="1"/>
  <c r="U16" i="1" s="1"/>
  <c r="L82" i="1"/>
  <c r="U82" i="1" s="1"/>
  <c r="L51" i="1"/>
  <c r="L29" i="1"/>
  <c r="T29" i="1" s="1"/>
  <c r="L63" i="1"/>
  <c r="U63" i="1" s="1"/>
  <c r="L36" i="1"/>
  <c r="U36" i="1" s="1"/>
  <c r="L32" i="1"/>
  <c r="U32" i="1" s="1"/>
  <c r="L27" i="1"/>
  <c r="U27" i="1" s="1"/>
  <c r="L66" i="1"/>
  <c r="L75" i="1"/>
  <c r="U75" i="1" s="1"/>
  <c r="L14" i="1"/>
  <c r="U14" i="1" s="1"/>
  <c r="L34" i="1"/>
  <c r="U34" i="1" s="1"/>
  <c r="L64" i="1"/>
  <c r="U64" i="1" s="1"/>
  <c r="L22" i="1"/>
  <c r="U22" i="1" s="1"/>
  <c r="L59" i="1"/>
  <c r="U59" i="1" s="1"/>
  <c r="L47" i="1"/>
  <c r="L38" i="1"/>
  <c r="U38" i="1" s="1"/>
  <c r="L25" i="1"/>
  <c r="U25" i="1" s="1"/>
  <c r="L60" i="1"/>
  <c r="U60" i="1" s="1"/>
  <c r="L28" i="1"/>
  <c r="U28" i="1" s="1"/>
  <c r="L39" i="1"/>
  <c r="T39" i="1" s="1"/>
  <c r="L31" i="1"/>
  <c r="U31" i="1" s="1"/>
  <c r="L93" i="1"/>
  <c r="U93" i="1" s="1"/>
  <c r="L76" i="1"/>
  <c r="L10" i="1"/>
  <c r="U10" i="1" s="1"/>
  <c r="L11" i="1"/>
  <c r="T11" i="1" s="1"/>
  <c r="L79" i="1"/>
  <c r="U79" i="1" s="1"/>
  <c r="L87" i="1"/>
  <c r="U87" i="1" s="1"/>
  <c r="L55" i="1"/>
  <c r="U55" i="1" s="1"/>
  <c r="L18" i="1"/>
  <c r="U18" i="1" s="1"/>
  <c r="L69" i="1"/>
  <c r="U69" i="1" s="1"/>
  <c r="L26" i="1"/>
  <c r="L48" i="1"/>
  <c r="U48" i="1" s="1"/>
  <c r="L41" i="1"/>
  <c r="U41" i="1" s="1"/>
  <c r="L84" i="1"/>
  <c r="U84" i="1" s="1"/>
  <c r="L91" i="1"/>
  <c r="U91" i="1" s="1"/>
  <c r="L6" i="1"/>
  <c r="U6" i="1" s="1"/>
  <c r="L5" i="1"/>
  <c r="U5" i="1" s="1"/>
  <c r="S94" i="1"/>
  <c r="U23" i="1"/>
  <c r="P39" i="1"/>
  <c r="P51" i="1"/>
  <c r="P73" i="1"/>
  <c r="P43" i="1"/>
  <c r="P22" i="1"/>
  <c r="P44" i="1"/>
  <c r="P68" i="1"/>
  <c r="P30" i="1"/>
  <c r="P84" i="1"/>
  <c r="N94" i="1"/>
  <c r="P71" i="1"/>
  <c r="P35" i="1"/>
  <c r="P76" i="1"/>
  <c r="P7" i="1"/>
  <c r="P45" i="1"/>
  <c r="T45" i="1" s="1"/>
  <c r="P92" i="1"/>
  <c r="P41" i="1"/>
  <c r="V63" i="1"/>
  <c r="P75" i="1"/>
  <c r="T92" i="1"/>
  <c r="P15" i="1"/>
  <c r="T15" i="1" s="1"/>
  <c r="P53" i="1"/>
  <c r="P21" i="1"/>
  <c r="V25" i="1"/>
  <c r="P91" i="1"/>
  <c r="P65" i="1"/>
  <c r="P93" i="1"/>
  <c r="U42" i="1"/>
  <c r="P48" i="1"/>
  <c r="P52" i="1"/>
  <c r="P57" i="1"/>
  <c r="U76" i="1"/>
  <c r="P47" i="1"/>
  <c r="V92" i="1"/>
  <c r="U49" i="1"/>
  <c r="U70" i="1"/>
  <c r="P77" i="1"/>
  <c r="P55" i="1"/>
  <c r="P10" i="1"/>
  <c r="U52" i="1"/>
  <c r="U20" i="1"/>
  <c r="P26" i="1"/>
  <c r="P67" i="1"/>
  <c r="P33" i="1"/>
  <c r="T33" i="1" s="1"/>
  <c r="P37" i="1"/>
  <c r="P11" i="1"/>
  <c r="P32" i="1"/>
  <c r="T32" i="1" s="1"/>
  <c r="P8" i="1"/>
  <c r="T8" i="1" s="1"/>
  <c r="P87" i="1"/>
  <c r="P74" i="1"/>
  <c r="T74" i="1" s="1"/>
  <c r="U80" i="1"/>
  <c r="U47" i="1"/>
  <c r="P50" i="1"/>
  <c r="U71" i="1"/>
  <c r="U68" i="1"/>
  <c r="P19" i="1"/>
  <c r="U54" i="1"/>
  <c r="P18" i="1"/>
  <c r="U15" i="1"/>
  <c r="U92" i="1"/>
  <c r="U67" i="1"/>
  <c r="U53" i="1"/>
  <c r="P90" i="1"/>
  <c r="U26" i="1"/>
  <c r="P9" i="1"/>
  <c r="U74" i="1"/>
  <c r="P20" i="1"/>
  <c r="T20" i="1" s="1"/>
  <c r="P25" i="1"/>
  <c r="P85" i="1"/>
  <c r="T85" i="1" s="1"/>
  <c r="P69" i="1"/>
  <c r="P70" i="1"/>
  <c r="T70" i="1" s="1"/>
  <c r="P64" i="1"/>
  <c r="P58" i="1"/>
  <c r="T58" i="1" s="1"/>
  <c r="P46" i="1"/>
  <c r="P88" i="1"/>
  <c r="P80" i="1"/>
  <c r="T80" i="1" s="1"/>
  <c r="P83" i="1"/>
  <c r="P72" i="1"/>
  <c r="P54" i="1"/>
  <c r="T54" i="1" s="1"/>
  <c r="P81" i="1"/>
  <c r="P78" i="1"/>
  <c r="P63" i="1"/>
  <c r="P86" i="1"/>
  <c r="P79" i="1"/>
  <c r="P89" i="1"/>
  <c r="P82" i="1"/>
  <c r="P36" i="1"/>
  <c r="P61" i="1"/>
  <c r="P40" i="1"/>
  <c r="P34" i="1"/>
  <c r="P56" i="1"/>
  <c r="P16" i="1"/>
  <c r="T16" i="1" s="1"/>
  <c r="P60" i="1"/>
  <c r="P49" i="1"/>
  <c r="P38" i="1"/>
  <c r="T38" i="1" s="1"/>
  <c r="P66" i="1"/>
  <c r="P59" i="1"/>
  <c r="T59" i="1" s="1"/>
  <c r="P31" i="1"/>
  <c r="P27" i="1"/>
  <c r="T27" i="1" s="1"/>
  <c r="P23" i="1"/>
  <c r="T23" i="1" s="1"/>
  <c r="P42" i="1"/>
  <c r="T42" i="1" s="1"/>
  <c r="P17" i="1"/>
  <c r="P14" i="1"/>
  <c r="P6" i="1"/>
  <c r="P13" i="1"/>
  <c r="P12" i="1"/>
  <c r="P4" i="1"/>
  <c r="P62" i="1"/>
  <c r="T62" i="1" s="1"/>
  <c r="P5" i="1"/>
  <c r="U66" i="1"/>
  <c r="P24" i="1"/>
  <c r="P28" i="1"/>
  <c r="Y35" i="4" l="1"/>
  <c r="W35" i="4"/>
  <c r="X35" i="4"/>
  <c r="W6" i="4"/>
  <c r="Y6" i="4"/>
  <c r="X6" i="4"/>
  <c r="W91" i="4"/>
  <c r="Y91" i="4"/>
  <c r="X91" i="4"/>
  <c r="Y80" i="4"/>
  <c r="W80" i="4"/>
  <c r="X80" i="4"/>
  <c r="Y58" i="4"/>
  <c r="W58" i="4"/>
  <c r="X58" i="4"/>
  <c r="Y71" i="4"/>
  <c r="W71" i="4"/>
  <c r="X71" i="4"/>
  <c r="Y39" i="4"/>
  <c r="X39" i="4"/>
  <c r="W39" i="4"/>
  <c r="Y23" i="4"/>
  <c r="W23" i="4"/>
  <c r="X23" i="4"/>
  <c r="Y84" i="4"/>
  <c r="W84" i="4"/>
  <c r="X84" i="4"/>
  <c r="Y34" i="4"/>
  <c r="X34" i="4"/>
  <c r="W34" i="4"/>
  <c r="Y13" i="4"/>
  <c r="W13" i="4"/>
  <c r="X13" i="4"/>
  <c r="W24" i="4"/>
  <c r="Y24" i="4"/>
  <c r="X24" i="4"/>
  <c r="Y66" i="4"/>
  <c r="W66" i="4"/>
  <c r="X66" i="4"/>
  <c r="Y61" i="4"/>
  <c r="W61" i="4"/>
  <c r="X61" i="4"/>
  <c r="W49" i="4"/>
  <c r="Y49" i="4"/>
  <c r="X49" i="4"/>
  <c r="X10" i="4"/>
  <c r="W10" i="4"/>
  <c r="Y10" i="4"/>
  <c r="Y88" i="4"/>
  <c r="W88" i="4"/>
  <c r="X88" i="4"/>
  <c r="Y79" i="4"/>
  <c r="W79" i="4"/>
  <c r="X79" i="4"/>
  <c r="Y40" i="4"/>
  <c r="W40" i="4"/>
  <c r="X40" i="4"/>
  <c r="W46" i="4"/>
  <c r="Y46" i="4"/>
  <c r="X46" i="4"/>
  <c r="Y41" i="4"/>
  <c r="W41" i="4"/>
  <c r="X41" i="4"/>
  <c r="V94" i="4"/>
  <c r="Y4" i="4"/>
  <c r="W4" i="4"/>
  <c r="W94" i="4" s="1"/>
  <c r="X4" i="4"/>
  <c r="Y65" i="4"/>
  <c r="W65" i="4"/>
  <c r="X65" i="4"/>
  <c r="Y8" i="4"/>
  <c r="X8" i="4"/>
  <c r="W8" i="4"/>
  <c r="X44" i="4"/>
  <c r="W44" i="4"/>
  <c r="Y44" i="4"/>
  <c r="Y19" i="4"/>
  <c r="W19" i="4"/>
  <c r="X19" i="4"/>
  <c r="Y15" i="4"/>
  <c r="W15" i="4"/>
  <c r="X15" i="4"/>
  <c r="Y68" i="4"/>
  <c r="W68" i="4"/>
  <c r="X68" i="4"/>
  <c r="W14" i="4"/>
  <c r="Y14" i="4"/>
  <c r="X14" i="4"/>
  <c r="Y85" i="4"/>
  <c r="W85" i="4"/>
  <c r="X85" i="4"/>
  <c r="Y27" i="4"/>
  <c r="X27" i="4"/>
  <c r="W27" i="4"/>
  <c r="Y81" i="4"/>
  <c r="W81" i="4"/>
  <c r="X81" i="4"/>
  <c r="Y56" i="4"/>
  <c r="W56" i="4"/>
  <c r="X56" i="4"/>
  <c r="W25" i="4"/>
  <c r="Y25" i="4"/>
  <c r="X25" i="4"/>
  <c r="Y31" i="4"/>
  <c r="W31" i="4"/>
  <c r="X31" i="4"/>
  <c r="W38" i="4"/>
  <c r="Y38" i="4"/>
  <c r="X38" i="4"/>
  <c r="Y45" i="4"/>
  <c r="W45" i="4"/>
  <c r="X45" i="4"/>
  <c r="Y21" i="4"/>
  <c r="W21" i="4"/>
  <c r="X21" i="4"/>
  <c r="Y76" i="4"/>
  <c r="W76" i="4"/>
  <c r="X76" i="4"/>
  <c r="Y43" i="4"/>
  <c r="W43" i="4"/>
  <c r="X43" i="4"/>
  <c r="Y29" i="4"/>
  <c r="W29" i="4"/>
  <c r="X29" i="4"/>
  <c r="W59" i="4"/>
  <c r="Y59" i="4"/>
  <c r="X59" i="4"/>
  <c r="W11" i="4"/>
  <c r="Y11" i="4"/>
  <c r="X11" i="4"/>
  <c r="Y73" i="4"/>
  <c r="W73" i="4"/>
  <c r="X73" i="4"/>
  <c r="W53" i="4"/>
  <c r="Y53" i="4"/>
  <c r="X53" i="4"/>
  <c r="X5" i="4"/>
  <c r="W5" i="4"/>
  <c r="Y5" i="4"/>
  <c r="Y89" i="4"/>
  <c r="W89" i="4"/>
  <c r="X89" i="4"/>
  <c r="Y54" i="4"/>
  <c r="X54" i="4"/>
  <c r="W54" i="4"/>
  <c r="W62" i="4"/>
  <c r="Y62" i="4"/>
  <c r="X62" i="4"/>
  <c r="W64" i="4"/>
  <c r="Y64" i="4"/>
  <c r="X64" i="4"/>
  <c r="Y48" i="4"/>
  <c r="W48" i="4"/>
  <c r="X48" i="4"/>
  <c r="W42" i="4"/>
  <c r="Y42" i="4"/>
  <c r="X42" i="4"/>
  <c r="Y36" i="4"/>
  <c r="W36" i="4"/>
  <c r="X36" i="4"/>
  <c r="W90" i="4"/>
  <c r="Y90" i="4"/>
  <c r="X90" i="4"/>
  <c r="Y18" i="4"/>
  <c r="W18" i="4"/>
  <c r="X18" i="4"/>
  <c r="Y87" i="4"/>
  <c r="W87" i="4"/>
  <c r="X87" i="4"/>
  <c r="Y50" i="4"/>
  <c r="W50" i="4"/>
  <c r="X50" i="4"/>
  <c r="Y93" i="4"/>
  <c r="W93" i="4"/>
  <c r="X93" i="4"/>
  <c r="Y20" i="4"/>
  <c r="X20" i="4"/>
  <c r="W20" i="4"/>
  <c r="Y22" i="4"/>
  <c r="W22" i="4"/>
  <c r="X22" i="4"/>
  <c r="W52" i="4"/>
  <c r="Y52" i="4"/>
  <c r="X52" i="4"/>
  <c r="W55" i="4"/>
  <c r="Y55" i="4"/>
  <c r="X55" i="4"/>
  <c r="W37" i="4"/>
  <c r="Y37" i="4"/>
  <c r="X37" i="4"/>
  <c r="W67" i="4"/>
  <c r="Y67" i="4"/>
  <c r="X67" i="4"/>
  <c r="T94" i="4"/>
  <c r="Y28" i="4"/>
  <c r="W28" i="4"/>
  <c r="X28" i="4"/>
  <c r="W83" i="4"/>
  <c r="Y83" i="4"/>
  <c r="X83" i="4"/>
  <c r="Y60" i="4"/>
  <c r="W60" i="4"/>
  <c r="X60" i="4"/>
  <c r="W26" i="4"/>
  <c r="X26" i="4"/>
  <c r="Y26" i="4"/>
  <c r="Y47" i="4"/>
  <c r="W47" i="4"/>
  <c r="X47" i="4"/>
  <c r="Y69" i="4"/>
  <c r="W69" i="4"/>
  <c r="X69" i="4"/>
  <c r="Y77" i="4"/>
  <c r="W77" i="4"/>
  <c r="X77" i="4"/>
  <c r="W86" i="4"/>
  <c r="Y86" i="4"/>
  <c r="X86" i="4"/>
  <c r="W57" i="4"/>
  <c r="Y57" i="4"/>
  <c r="X57" i="4"/>
  <c r="Y9" i="4"/>
  <c r="X9" i="4"/>
  <c r="W9" i="4"/>
  <c r="W17" i="4"/>
  <c r="X17" i="4"/>
  <c r="Y17" i="4"/>
  <c r="Y63" i="4"/>
  <c r="W63" i="4"/>
  <c r="X63" i="4"/>
  <c r="W78" i="4"/>
  <c r="Y78" i="4"/>
  <c r="X78" i="4"/>
  <c r="W32" i="4"/>
  <c r="Y32" i="4"/>
  <c r="X32" i="4"/>
  <c r="W7" i="4"/>
  <c r="Y7" i="4"/>
  <c r="X7" i="4"/>
  <c r="U94" i="4"/>
  <c r="Y30" i="4"/>
  <c r="W30" i="4"/>
  <c r="X30" i="4"/>
  <c r="Y92" i="4"/>
  <c r="W92" i="4"/>
  <c r="X92" i="4"/>
  <c r="W74" i="4"/>
  <c r="Y74" i="4"/>
  <c r="X74" i="4"/>
  <c r="Y51" i="4"/>
  <c r="W51" i="4"/>
  <c r="X51" i="4"/>
  <c r="Y72" i="4"/>
  <c r="W72" i="4"/>
  <c r="X72" i="4"/>
  <c r="W33" i="4"/>
  <c r="Y33" i="4"/>
  <c r="X33" i="4"/>
  <c r="W70" i="4"/>
  <c r="Y70" i="4"/>
  <c r="X70" i="4"/>
  <c r="W82" i="4"/>
  <c r="Y82" i="4"/>
  <c r="X82" i="4"/>
  <c r="W75" i="4"/>
  <c r="X75" i="4"/>
  <c r="Y75" i="4"/>
  <c r="Y16" i="4"/>
  <c r="X16" i="4"/>
  <c r="W16" i="4"/>
  <c r="W12" i="4"/>
  <c r="Y12" i="4"/>
  <c r="X12" i="4"/>
  <c r="T82" i="1"/>
  <c r="T52" i="1"/>
  <c r="T53" i="1"/>
  <c r="T64" i="1"/>
  <c r="T4" i="1"/>
  <c r="T51" i="1"/>
  <c r="T47" i="1"/>
  <c r="T43" i="1"/>
  <c r="U43" i="1"/>
  <c r="T13" i="1"/>
  <c r="T61" i="1"/>
  <c r="T14" i="1"/>
  <c r="T18" i="1"/>
  <c r="U39" i="1"/>
  <c r="T40" i="1"/>
  <c r="T17" i="1"/>
  <c r="T60" i="1"/>
  <c r="T19" i="1"/>
  <c r="T87" i="1"/>
  <c r="T77" i="1"/>
  <c r="T78" i="1"/>
  <c r="T50" i="1"/>
  <c r="T6" i="1"/>
  <c r="U29" i="1"/>
  <c r="T30" i="1"/>
  <c r="T28" i="1"/>
  <c r="T34" i="1"/>
  <c r="T46" i="1"/>
  <c r="U51" i="1"/>
  <c r="T68" i="1"/>
  <c r="T73" i="1"/>
  <c r="T86" i="1"/>
  <c r="T81" i="1"/>
  <c r="U4" i="1"/>
  <c r="T65" i="1"/>
  <c r="T91" i="1"/>
  <c r="T36" i="1"/>
  <c r="T90" i="1"/>
  <c r="T57" i="1"/>
  <c r="T5" i="1"/>
  <c r="T49" i="1"/>
  <c r="T72" i="1"/>
  <c r="T69" i="1"/>
  <c r="T37" i="1"/>
  <c r="T67" i="1"/>
  <c r="T7" i="1"/>
  <c r="T84" i="1"/>
  <c r="T9" i="1"/>
  <c r="T79" i="1"/>
  <c r="T24" i="1"/>
  <c r="U11" i="1"/>
  <c r="T21" i="1"/>
  <c r="T71" i="1"/>
  <c r="T22" i="1"/>
  <c r="T83" i="1"/>
  <c r="T56" i="1"/>
  <c r="T88" i="1"/>
  <c r="T12" i="1"/>
  <c r="T31" i="1"/>
  <c r="T63" i="1"/>
  <c r="T55" i="1"/>
  <c r="T35" i="1"/>
  <c r="T44" i="1"/>
  <c r="T48" i="1"/>
  <c r="T89" i="1"/>
  <c r="T25" i="1"/>
  <c r="T75" i="1"/>
  <c r="T26" i="1"/>
  <c r="T76" i="1"/>
  <c r="T66" i="1"/>
  <c r="L94" i="1"/>
  <c r="T93" i="1"/>
  <c r="T41" i="1"/>
  <c r="T10" i="1"/>
  <c r="V12" i="1"/>
  <c r="P94" i="1"/>
  <c r="V60" i="1"/>
  <c r="V20" i="1"/>
  <c r="V74" i="1"/>
  <c r="V84" i="1"/>
  <c r="V6" i="1"/>
  <c r="V37" i="1"/>
  <c r="V47" i="1"/>
  <c r="V75" i="1"/>
  <c r="V43" i="1"/>
  <c r="V64" i="1"/>
  <c r="V72" i="1"/>
  <c r="V41" i="1"/>
  <c r="V33" i="1"/>
  <c r="V14" i="1"/>
  <c r="V46" i="1"/>
  <c r="V51" i="1"/>
  <c r="V78" i="1"/>
  <c r="V48" i="1"/>
  <c r="V80" i="1"/>
  <c r="W25" i="1"/>
  <c r="Y25" i="1"/>
  <c r="X25" i="1"/>
  <c r="V70" i="1"/>
  <c r="V56" i="1"/>
  <c r="V39" i="1"/>
  <c r="V15" i="1"/>
  <c r="V36" i="1"/>
  <c r="V16" i="1"/>
  <c r="V8" i="1"/>
  <c r="V32" i="1"/>
  <c r="V68" i="1"/>
  <c r="V49" i="1"/>
  <c r="V87" i="1"/>
  <c r="V88" i="1"/>
  <c r="V23" i="1"/>
  <c r="V58" i="1"/>
  <c r="V27" i="1"/>
  <c r="V10" i="1"/>
  <c r="V34" i="1"/>
  <c r="V35" i="1"/>
  <c r="V77" i="1"/>
  <c r="V61" i="1"/>
  <c r="Y63" i="1"/>
  <c r="W63" i="1"/>
  <c r="X63" i="1"/>
  <c r="V54" i="1"/>
  <c r="V18" i="1"/>
  <c r="V38" i="1"/>
  <c r="V31" i="1"/>
  <c r="V66" i="1"/>
  <c r="V5" i="1"/>
  <c r="V40" i="1"/>
  <c r="V45" i="1"/>
  <c r="V93" i="1"/>
  <c r="V67" i="1"/>
  <c r="V7" i="1"/>
  <c r="V9" i="1"/>
  <c r="V57" i="1"/>
  <c r="V19" i="1"/>
  <c r="V42" i="1"/>
  <c r="V24" i="1"/>
  <c r="V71" i="1"/>
  <c r="V91" i="1"/>
  <c r="V13" i="1"/>
  <c r="V79" i="1"/>
  <c r="V82" i="1"/>
  <c r="V53" i="1"/>
  <c r="V90" i="1"/>
  <c r="V55" i="1"/>
  <c r="V59" i="1"/>
  <c r="V29" i="1"/>
  <c r="V62" i="1"/>
  <c r="V81" i="1"/>
  <c r="V22" i="1"/>
  <c r="V11" i="1"/>
  <c r="V50" i="1"/>
  <c r="V28" i="1"/>
  <c r="V85" i="1"/>
  <c r="V83" i="1"/>
  <c r="V4" i="1"/>
  <c r="V17" i="1"/>
  <c r="V26" i="1"/>
  <c r="V69" i="1"/>
  <c r="V89" i="1"/>
  <c r="V73" i="1"/>
  <c r="V30" i="1"/>
  <c r="V86" i="1"/>
  <c r="V21" i="1"/>
  <c r="V65" i="1"/>
  <c r="V44" i="1"/>
  <c r="V76" i="1"/>
  <c r="Y92" i="1"/>
  <c r="W92" i="1"/>
  <c r="X92" i="1"/>
  <c r="V52" i="1"/>
  <c r="T94" i="1" l="1"/>
  <c r="Y94" i="4"/>
  <c r="Y97" i="4" s="1"/>
  <c r="Y103" i="4"/>
  <c r="X94" i="4"/>
  <c r="U94" i="1"/>
  <c r="V94" i="1"/>
  <c r="W4" i="1"/>
  <c r="Y4" i="1"/>
  <c r="X4" i="1"/>
  <c r="Y11" i="1"/>
  <c r="W11" i="1"/>
  <c r="X11" i="1"/>
  <c r="Y81" i="1"/>
  <c r="W81" i="1"/>
  <c r="X81" i="1"/>
  <c r="W53" i="1"/>
  <c r="Y53" i="1"/>
  <c r="X53" i="1"/>
  <c r="Y19" i="1"/>
  <c r="X19" i="1"/>
  <c r="W19" i="1"/>
  <c r="W7" i="1"/>
  <c r="Y7" i="1"/>
  <c r="X7" i="1"/>
  <c r="Y66" i="1"/>
  <c r="W66" i="1"/>
  <c r="X66" i="1"/>
  <c r="Y77" i="1"/>
  <c r="W77" i="1"/>
  <c r="X77" i="1"/>
  <c r="Y34" i="1"/>
  <c r="W34" i="1"/>
  <c r="X34" i="1"/>
  <c r="Y58" i="1"/>
  <c r="W58" i="1"/>
  <c r="X58" i="1"/>
  <c r="W68" i="1"/>
  <c r="Y68" i="1"/>
  <c r="X68" i="1"/>
  <c r="Y70" i="1"/>
  <c r="W70" i="1"/>
  <c r="X70" i="1"/>
  <c r="W80" i="1"/>
  <c r="Y80" i="1"/>
  <c r="X80" i="1"/>
  <c r="W72" i="1"/>
  <c r="Y72" i="1"/>
  <c r="X72" i="1"/>
  <c r="Y75" i="1"/>
  <c r="W75" i="1"/>
  <c r="X75" i="1"/>
  <c r="X30" i="1"/>
  <c r="W30" i="1"/>
  <c r="Y30" i="1"/>
  <c r="W89" i="1"/>
  <c r="Y89" i="1"/>
  <c r="X89" i="1"/>
  <c r="Y17" i="1"/>
  <c r="W17" i="1"/>
  <c r="X17" i="1"/>
  <c r="Y28" i="1"/>
  <c r="W28" i="1"/>
  <c r="X28" i="1"/>
  <c r="Y22" i="1"/>
  <c r="X22" i="1"/>
  <c r="W22" i="1"/>
  <c r="W55" i="1"/>
  <c r="Y55" i="1"/>
  <c r="X55" i="1"/>
  <c r="W82" i="1"/>
  <c r="Y82" i="1"/>
  <c r="X82" i="1"/>
  <c r="W13" i="1"/>
  <c r="Y13" i="1"/>
  <c r="X13" i="1"/>
  <c r="Y31" i="1"/>
  <c r="W31" i="1"/>
  <c r="X31" i="1"/>
  <c r="W18" i="1"/>
  <c r="Y18" i="1"/>
  <c r="X18" i="1"/>
  <c r="Y16" i="1"/>
  <c r="W16" i="1"/>
  <c r="X16" i="1"/>
  <c r="Y60" i="1"/>
  <c r="W60" i="1"/>
  <c r="X60" i="1"/>
  <c r="Y83" i="1"/>
  <c r="W83" i="1"/>
  <c r="X83" i="1"/>
  <c r="Y45" i="1"/>
  <c r="W45" i="1"/>
  <c r="X45" i="1"/>
  <c r="W5" i="1"/>
  <c r="Y5" i="1"/>
  <c r="X5" i="1"/>
  <c r="Y33" i="1"/>
  <c r="W33" i="1"/>
  <c r="X33" i="1"/>
  <c r="Y69" i="1"/>
  <c r="W69" i="1"/>
  <c r="X69" i="1"/>
  <c r="Y50" i="1"/>
  <c r="X50" i="1"/>
  <c r="W50" i="1"/>
  <c r="Y24" i="1"/>
  <c r="W24" i="1"/>
  <c r="X24" i="1"/>
  <c r="W10" i="1"/>
  <c r="Y10" i="1"/>
  <c r="X10" i="1"/>
  <c r="Y91" i="1"/>
  <c r="W91" i="1"/>
  <c r="X91" i="1"/>
  <c r="Y54" i="1"/>
  <c r="W54" i="1"/>
  <c r="X54" i="1"/>
  <c r="Y23" i="1"/>
  <c r="W23" i="1"/>
  <c r="X23" i="1"/>
  <c r="W87" i="1"/>
  <c r="Y87" i="1"/>
  <c r="X87" i="1"/>
  <c r="Y36" i="1"/>
  <c r="W36" i="1"/>
  <c r="X36" i="1"/>
  <c r="Y39" i="1"/>
  <c r="W39" i="1"/>
  <c r="X39" i="1"/>
  <c r="Y48" i="1"/>
  <c r="X48" i="1"/>
  <c r="W48" i="1"/>
  <c r="Y46" i="1"/>
  <c r="W46" i="1"/>
  <c r="X46" i="1"/>
  <c r="Y41" i="1"/>
  <c r="W41" i="1"/>
  <c r="X41" i="1"/>
  <c r="Y64" i="1"/>
  <c r="W64" i="1"/>
  <c r="X64" i="1"/>
  <c r="Y6" i="1"/>
  <c r="W6" i="1"/>
  <c r="X6" i="1"/>
  <c r="W20" i="1"/>
  <c r="Y20" i="1"/>
  <c r="X20" i="1"/>
  <c r="Y44" i="1"/>
  <c r="W44" i="1"/>
  <c r="X44" i="1"/>
  <c r="W29" i="1"/>
  <c r="Y29" i="1"/>
  <c r="X29" i="1"/>
  <c r="W57" i="1"/>
  <c r="Y57" i="1"/>
  <c r="X57" i="1"/>
  <c r="Y85" i="1"/>
  <c r="W85" i="1"/>
  <c r="X85" i="1"/>
  <c r="W90" i="1"/>
  <c r="Y90" i="1"/>
  <c r="X90" i="1"/>
  <c r="W67" i="1"/>
  <c r="Y67" i="1"/>
  <c r="X67" i="1"/>
  <c r="Y35" i="1"/>
  <c r="X35" i="1"/>
  <c r="W35" i="1"/>
  <c r="Y27" i="1"/>
  <c r="W27" i="1"/>
  <c r="X27" i="1"/>
  <c r="Y32" i="1"/>
  <c r="W32" i="1"/>
  <c r="X32" i="1"/>
  <c r="Y78" i="1"/>
  <c r="W78" i="1"/>
  <c r="X78" i="1"/>
  <c r="W47" i="1"/>
  <c r="Y47" i="1"/>
  <c r="X47" i="1"/>
  <c r="Y84" i="1"/>
  <c r="W84" i="1"/>
  <c r="X84" i="1"/>
  <c r="W52" i="1"/>
  <c r="Y52" i="1"/>
  <c r="X52" i="1"/>
  <c r="W65" i="1"/>
  <c r="Y65" i="1"/>
  <c r="X65" i="1"/>
  <c r="W86" i="1"/>
  <c r="Y86" i="1"/>
  <c r="X86" i="1"/>
  <c r="W42" i="1"/>
  <c r="Y42" i="1"/>
  <c r="X42" i="1"/>
  <c r="Y8" i="1"/>
  <c r="W8" i="1"/>
  <c r="X8" i="1"/>
  <c r="Y56" i="1"/>
  <c r="W56" i="1"/>
  <c r="X56" i="1"/>
  <c r="Y12" i="1"/>
  <c r="W12" i="1"/>
  <c r="X12" i="1"/>
  <c r="W79" i="1"/>
  <c r="Y79" i="1"/>
  <c r="X79" i="1"/>
  <c r="W71" i="1"/>
  <c r="Y71" i="1"/>
  <c r="X71" i="1"/>
  <c r="Y9" i="1"/>
  <c r="W9" i="1"/>
  <c r="X9" i="1"/>
  <c r="W38" i="1"/>
  <c r="Y38" i="1"/>
  <c r="X38" i="1"/>
  <c r="Y61" i="1"/>
  <c r="W61" i="1"/>
  <c r="X61" i="1"/>
  <c r="W49" i="1"/>
  <c r="Y49" i="1"/>
  <c r="X49" i="1"/>
  <c r="W37" i="1"/>
  <c r="Y37" i="1"/>
  <c r="X37" i="1"/>
  <c r="W73" i="1"/>
  <c r="Y73" i="1"/>
  <c r="X73" i="1"/>
  <c r="W76" i="1"/>
  <c r="Y76" i="1"/>
  <c r="X76" i="1"/>
  <c r="Y21" i="1"/>
  <c r="W21" i="1"/>
  <c r="X21" i="1"/>
  <c r="X26" i="1"/>
  <c r="W26" i="1"/>
  <c r="Y26" i="1"/>
  <c r="W62" i="1"/>
  <c r="Y62" i="1"/>
  <c r="X62" i="1"/>
  <c r="W59" i="1"/>
  <c r="Y59" i="1"/>
  <c r="X59" i="1"/>
  <c r="Y93" i="1"/>
  <c r="W93" i="1"/>
  <c r="X93" i="1"/>
  <c r="W40" i="1"/>
  <c r="Y40" i="1"/>
  <c r="X40" i="1"/>
  <c r="Y88" i="1"/>
  <c r="W88" i="1"/>
  <c r="X88" i="1"/>
  <c r="Y15" i="1"/>
  <c r="W15" i="1"/>
  <c r="X15" i="1"/>
  <c r="W51" i="1"/>
  <c r="Y51" i="1"/>
  <c r="X51" i="1"/>
  <c r="Y14" i="1"/>
  <c r="W14" i="1"/>
  <c r="X14" i="1"/>
  <c r="Y43" i="1"/>
  <c r="W43" i="1"/>
  <c r="X43" i="1"/>
  <c r="Y74" i="1"/>
  <c r="W74" i="1"/>
  <c r="X74" i="1"/>
  <c r="Y106" i="4" l="1"/>
  <c r="Y99" i="4"/>
  <c r="Y101" i="4" s="1"/>
  <c r="X94" i="1"/>
  <c r="Y103" i="1"/>
  <c r="Y94" i="1"/>
  <c r="Y97" i="1" s="1"/>
  <c r="W94" i="1"/>
  <c r="AE100" i="4" l="1"/>
  <c r="AE58" i="4" a="1"/>
  <c r="AE58" i="4" s="1"/>
  <c r="AE39" i="4" a="1"/>
  <c r="AE39" i="4" s="1"/>
  <c r="AE84" i="4" a="1"/>
  <c r="AE84" i="4" s="1"/>
  <c r="AE40" i="4" a="1"/>
  <c r="AE40" i="4" s="1"/>
  <c r="AE74" i="4" a="1"/>
  <c r="AE74" i="4" s="1"/>
  <c r="AE72" i="4" a="1"/>
  <c r="AE72" i="4" s="1"/>
  <c r="AE75" i="4" a="1"/>
  <c r="AE75" i="4" s="1"/>
  <c r="AE47" i="4" a="1"/>
  <c r="AE47" i="4" s="1"/>
  <c r="AE82" i="4" a="1"/>
  <c r="AE82" i="4" s="1"/>
  <c r="AE6" i="4" a="1"/>
  <c r="AE6" i="4" s="1"/>
  <c r="AE8" i="4" a="1"/>
  <c r="AE8" i="4" s="1"/>
  <c r="AE85" i="4" a="1"/>
  <c r="AE85" i="4" s="1"/>
  <c r="AE21" i="4" a="1"/>
  <c r="AE21" i="4" s="1"/>
  <c r="AE54" i="4" a="1"/>
  <c r="AE54" i="4" s="1"/>
  <c r="AE93" i="4" a="1"/>
  <c r="AE93" i="4" s="1"/>
  <c r="AE91" i="4" a="1"/>
  <c r="AE91" i="4" s="1"/>
  <c r="AE13" i="4" a="1"/>
  <c r="AE13" i="4" s="1"/>
  <c r="AE49" i="4" a="1"/>
  <c r="AE49" i="4" s="1"/>
  <c r="AE88" i="4" a="1"/>
  <c r="AE88" i="4" s="1"/>
  <c r="AE15" i="4" a="1"/>
  <c r="AE15" i="4" s="1"/>
  <c r="AE27" i="4" a="1"/>
  <c r="AE27" i="4" s="1"/>
  <c r="AE45" i="4" a="1"/>
  <c r="AE45" i="4" s="1"/>
  <c r="AE76" i="4" a="1"/>
  <c r="AE76" i="4" s="1"/>
  <c r="AE11" i="4" a="1"/>
  <c r="AE11" i="4" s="1"/>
  <c r="AE50" i="4" a="1"/>
  <c r="AE50" i="4" s="1"/>
  <c r="AE20" i="4" a="1"/>
  <c r="AE20" i="4" s="1"/>
  <c r="AE83" i="4" a="1"/>
  <c r="AE83" i="4" s="1"/>
  <c r="AE9" i="4" a="1"/>
  <c r="AE9" i="4" s="1"/>
  <c r="AE30" i="4" a="1"/>
  <c r="AE30" i="4" s="1"/>
  <c r="AE35" i="4" a="1"/>
  <c r="AE35" i="4" s="1"/>
  <c r="AE66" i="4" a="1"/>
  <c r="AE66" i="4" s="1"/>
  <c r="AE41" i="4" a="1"/>
  <c r="AE41" i="4" s="1"/>
  <c r="AE65" i="4" a="1"/>
  <c r="AE65" i="4" s="1"/>
  <c r="AE14" i="4" a="1"/>
  <c r="AE14" i="4" s="1"/>
  <c r="AE56" i="4" a="1"/>
  <c r="AE56" i="4" s="1"/>
  <c r="AE29" i="4" a="1"/>
  <c r="AE29" i="4" s="1"/>
  <c r="AE53" i="4" a="1"/>
  <c r="AE53" i="4" s="1"/>
  <c r="AE62" i="4" a="1"/>
  <c r="AE62" i="4" s="1"/>
  <c r="AE52" i="4" a="1"/>
  <c r="AE52" i="4" s="1"/>
  <c r="AE28" i="4" a="1"/>
  <c r="AE28" i="4" s="1"/>
  <c r="AE77" i="4" a="1"/>
  <c r="AE77" i="4" s="1"/>
  <c r="AE17" i="4" a="1"/>
  <c r="AE17" i="4" s="1"/>
  <c r="AE78" i="4" a="1"/>
  <c r="AE78" i="4" s="1"/>
  <c r="AE7" i="4" a="1"/>
  <c r="AE7" i="4" s="1"/>
  <c r="AE34" i="4" a="1"/>
  <c r="AE34" i="4" s="1"/>
  <c r="AE18" i="4" a="1"/>
  <c r="AE18" i="4" s="1"/>
  <c r="AE68" i="4" a="1"/>
  <c r="AE68" i="4" s="1"/>
  <c r="AE43" i="4" a="1"/>
  <c r="AE43" i="4" s="1"/>
  <c r="AE59" i="4" a="1"/>
  <c r="AE59" i="4" s="1"/>
  <c r="AE64" i="4" a="1"/>
  <c r="AE64" i="4" s="1"/>
  <c r="AE55" i="4" a="1"/>
  <c r="AE55" i="4" s="1"/>
  <c r="AE51" i="4" a="1"/>
  <c r="AE51" i="4" s="1"/>
  <c r="AE44" i="4" a="1"/>
  <c r="AE44" i="4" s="1"/>
  <c r="AE31" i="4" a="1"/>
  <c r="AE31" i="4" s="1"/>
  <c r="AE89" i="4" a="1"/>
  <c r="AE89" i="4" s="1"/>
  <c r="AE48" i="4" a="1"/>
  <c r="AE48" i="4" s="1"/>
  <c r="AE36" i="4" a="1"/>
  <c r="AE36" i="4" s="1"/>
  <c r="AE37" i="4" a="1"/>
  <c r="AE37" i="4" s="1"/>
  <c r="AE60" i="4" a="1"/>
  <c r="AE60" i="4" s="1"/>
  <c r="AE57" i="4" a="1"/>
  <c r="AE57" i="4" s="1"/>
  <c r="AE92" i="4" a="1"/>
  <c r="AE92" i="4" s="1"/>
  <c r="AE33" i="4" a="1"/>
  <c r="AE33" i="4" s="1"/>
  <c r="AE16" i="4" a="1"/>
  <c r="AE16" i="4" s="1"/>
  <c r="AE46" i="4" a="1"/>
  <c r="AE46" i="4" s="1"/>
  <c r="AE24" i="4" a="1"/>
  <c r="AE24" i="4" s="1"/>
  <c r="AE80" i="4" a="1"/>
  <c r="AE80" i="4" s="1"/>
  <c r="AE71" i="4" a="1"/>
  <c r="AE71" i="4" s="1"/>
  <c r="AE23" i="4" a="1"/>
  <c r="AE23" i="4" s="1"/>
  <c r="AE61" i="4" a="1"/>
  <c r="AE61" i="4" s="1"/>
  <c r="AE79" i="4" a="1"/>
  <c r="AE79" i="4" s="1"/>
  <c r="AE25" i="4" a="1"/>
  <c r="AE25" i="4" s="1"/>
  <c r="AE38" i="4" a="1"/>
  <c r="AE38" i="4" s="1"/>
  <c r="AE90" i="4" a="1"/>
  <c r="AE90" i="4" s="1"/>
  <c r="AE67" i="4" a="1"/>
  <c r="AE67" i="4" s="1"/>
  <c r="AE26" i="4" a="1"/>
  <c r="AE26" i="4" s="1"/>
  <c r="AE69" i="4" a="1"/>
  <c r="AE69" i="4" s="1"/>
  <c r="AE86" i="4" a="1"/>
  <c r="AE86" i="4" s="1"/>
  <c r="AE63" i="4" a="1"/>
  <c r="AE63" i="4" s="1"/>
  <c r="AE10" i="4" a="1"/>
  <c r="AE10" i="4" s="1"/>
  <c r="AE4" i="4" a="1"/>
  <c r="AE4" i="4" s="1"/>
  <c r="AE94" i="4" s="1"/>
  <c r="AE98" i="4" s="1"/>
  <c r="AE19" i="4" a="1"/>
  <c r="AE19" i="4" s="1"/>
  <c r="AE81" i="4" a="1"/>
  <c r="AE81" i="4" s="1"/>
  <c r="AE73" i="4" a="1"/>
  <c r="AE73" i="4" s="1"/>
  <c r="AE5" i="4" a="1"/>
  <c r="AE5" i="4" s="1"/>
  <c r="AE42" i="4" a="1"/>
  <c r="AE42" i="4" s="1"/>
  <c r="AE87" i="4" a="1"/>
  <c r="AE87" i="4" s="1"/>
  <c r="AE22" i="4" a="1"/>
  <c r="AE22" i="4" s="1"/>
  <c r="AE32" i="4" a="1"/>
  <c r="AE32" i="4" s="1"/>
  <c r="AE70" i="4" a="1"/>
  <c r="AE70" i="4" s="1"/>
  <c r="AE12" i="4" a="1"/>
  <c r="AE12" i="4" s="1"/>
  <c r="Z72" i="4"/>
  <c r="AA72" i="4" s="1"/>
  <c r="Z64" i="4"/>
  <c r="AA64" i="4" s="1"/>
  <c r="Z43" i="4"/>
  <c r="AA43" i="4" s="1"/>
  <c r="Z6" i="4"/>
  <c r="AA6" i="4" s="1"/>
  <c r="Z61" i="4"/>
  <c r="AA61" i="4" s="1"/>
  <c r="Z62" i="4"/>
  <c r="AA62" i="4" s="1"/>
  <c r="Z75" i="4"/>
  <c r="AA75" i="4" s="1"/>
  <c r="Z27" i="4"/>
  <c r="AA27" i="4" s="1"/>
  <c r="Z70" i="4"/>
  <c r="AA70" i="4" s="1"/>
  <c r="Z31" i="4"/>
  <c r="AA31" i="4" s="1"/>
  <c r="Z17" i="4"/>
  <c r="AA17" i="4" s="1"/>
  <c r="Z8" i="4"/>
  <c r="AA8" i="4" s="1"/>
  <c r="Z82" i="4"/>
  <c r="AA82" i="4" s="1"/>
  <c r="Z93" i="4"/>
  <c r="AA93" i="4" s="1"/>
  <c r="Z87" i="4"/>
  <c r="AA87" i="4" s="1"/>
  <c r="Z30" i="4"/>
  <c r="AA30" i="4" s="1"/>
  <c r="Z59" i="4"/>
  <c r="AA59" i="4" s="1"/>
  <c r="Z21" i="4"/>
  <c r="AA21" i="4" s="1"/>
  <c r="Z22" i="4"/>
  <c r="AA22" i="4" s="1"/>
  <c r="Z23" i="4"/>
  <c r="AA23" i="4" s="1"/>
  <c r="Z53" i="4"/>
  <c r="AA53" i="4" s="1"/>
  <c r="Z47" i="4"/>
  <c r="AA47" i="4" s="1"/>
  <c r="Z15" i="4"/>
  <c r="AA15" i="4" s="1"/>
  <c r="Z74" i="4"/>
  <c r="AA74" i="4" s="1"/>
  <c r="Z56" i="4"/>
  <c r="AA56" i="4" s="1"/>
  <c r="Z7" i="4"/>
  <c r="AA7" i="4" s="1"/>
  <c r="Z41" i="4"/>
  <c r="AA41" i="4" s="1"/>
  <c r="Z9" i="4"/>
  <c r="AA9" i="4" s="1"/>
  <c r="Z36" i="4"/>
  <c r="AA36" i="4" s="1"/>
  <c r="Z46" i="4"/>
  <c r="AA46" i="4" s="1"/>
  <c r="Z50" i="4"/>
  <c r="AA50" i="4" s="1"/>
  <c r="Z39" i="4"/>
  <c r="AA39" i="4" s="1"/>
  <c r="Z86" i="4"/>
  <c r="AA86" i="4" s="1"/>
  <c r="Z63" i="4"/>
  <c r="AA63" i="4" s="1"/>
  <c r="Z38" i="4"/>
  <c r="AA38" i="4" s="1"/>
  <c r="Z85" i="4"/>
  <c r="AA85" i="4" s="1"/>
  <c r="Z73" i="4"/>
  <c r="AA73" i="4" s="1"/>
  <c r="Z71" i="4"/>
  <c r="AA71" i="4" s="1"/>
  <c r="Z11" i="4"/>
  <c r="AA11" i="4" s="1"/>
  <c r="Z60" i="4"/>
  <c r="AA60" i="4" s="1"/>
  <c r="Z49" i="4"/>
  <c r="AA49" i="4" s="1"/>
  <c r="Z26" i="4"/>
  <c r="AA26" i="4" s="1"/>
  <c r="Z65" i="4"/>
  <c r="AA65" i="4" s="1"/>
  <c r="Z57" i="4"/>
  <c r="AA57" i="4" s="1"/>
  <c r="Z88" i="4"/>
  <c r="AA88" i="4" s="1"/>
  <c r="Z4" i="4"/>
  <c r="Z81" i="4"/>
  <c r="AA81" i="4" s="1"/>
  <c r="Z84" i="4"/>
  <c r="AA84" i="4" s="1"/>
  <c r="Z13" i="4"/>
  <c r="AA13" i="4" s="1"/>
  <c r="Z67" i="4"/>
  <c r="AA67" i="4" s="1"/>
  <c r="Z77" i="4"/>
  <c r="AA77" i="4" s="1"/>
  <c r="Z19" i="4"/>
  <c r="AA19" i="4" s="1"/>
  <c r="Z35" i="4"/>
  <c r="AA35" i="4" s="1"/>
  <c r="Z69" i="4"/>
  <c r="AA69" i="4" s="1"/>
  <c r="Z25" i="4"/>
  <c r="AA25" i="4" s="1"/>
  <c r="Z68" i="4"/>
  <c r="AA68" i="4" s="1"/>
  <c r="Z80" i="4"/>
  <c r="AA80" i="4" s="1"/>
  <c r="Z14" i="4"/>
  <c r="AA14" i="4" s="1"/>
  <c r="Z37" i="4"/>
  <c r="AA37" i="4" s="1"/>
  <c r="Z91" i="4"/>
  <c r="AA91" i="4" s="1"/>
  <c r="Z18" i="4"/>
  <c r="AA18" i="4" s="1"/>
  <c r="Z40" i="4"/>
  <c r="AA40" i="4" s="1"/>
  <c r="Z79" i="4"/>
  <c r="AA79" i="4" s="1"/>
  <c r="Z66" i="4"/>
  <c r="AA66" i="4" s="1"/>
  <c r="Z83" i="4"/>
  <c r="AA83" i="4" s="1"/>
  <c r="Z51" i="4"/>
  <c r="AA51" i="4" s="1"/>
  <c r="Z20" i="4"/>
  <c r="AA20" i="4" s="1"/>
  <c r="Z32" i="4"/>
  <c r="AA32" i="4" s="1"/>
  <c r="Z34" i="4"/>
  <c r="AA34" i="4" s="1"/>
  <c r="Z48" i="4"/>
  <c r="AA48" i="4" s="1"/>
  <c r="Z55" i="4"/>
  <c r="AA55" i="4" s="1"/>
  <c r="Z42" i="4"/>
  <c r="AA42" i="4" s="1"/>
  <c r="Z10" i="4"/>
  <c r="AA10" i="4" s="1"/>
  <c r="Z16" i="4"/>
  <c r="AA16" i="4" s="1"/>
  <c r="Z28" i="4"/>
  <c r="AA28" i="4" s="1"/>
  <c r="Z78" i="4"/>
  <c r="AA78" i="4" s="1"/>
  <c r="Z76" i="4"/>
  <c r="AA76" i="4" s="1"/>
  <c r="Z92" i="4"/>
  <c r="AA92" i="4" s="1"/>
  <c r="Z89" i="4"/>
  <c r="AA89" i="4" s="1"/>
  <c r="Z58" i="4"/>
  <c r="AA58" i="4" s="1"/>
  <c r="Z5" i="4"/>
  <c r="AA5" i="4" s="1"/>
  <c r="Z90" i="4"/>
  <c r="AA90" i="4" s="1"/>
  <c r="Z54" i="4"/>
  <c r="AA54" i="4" s="1"/>
  <c r="Z24" i="4"/>
  <c r="AA24" i="4" s="1"/>
  <c r="Z52" i="4"/>
  <c r="AA52" i="4" s="1"/>
  <c r="Z44" i="4"/>
  <c r="AA44" i="4" s="1"/>
  <c r="Z45" i="4"/>
  <c r="AA45" i="4" s="1"/>
  <c r="Z12" i="4"/>
  <c r="AA12" i="4" s="1"/>
  <c r="Z29" i="4"/>
  <c r="AA29" i="4" s="1"/>
  <c r="Z33" i="4"/>
  <c r="AA33" i="4" s="1"/>
  <c r="Y106" i="1"/>
  <c r="Y99" i="1"/>
  <c r="Y101" i="1" s="1"/>
  <c r="Z94" i="4" l="1"/>
  <c r="AA4" i="4"/>
  <c r="AA94" i="4" s="1"/>
  <c r="AE100" i="1"/>
  <c r="AE25" i="1" a="1"/>
  <c r="AE25" i="1" s="1"/>
  <c r="AE63" i="1" a="1"/>
  <c r="AE63" i="1" s="1"/>
  <c r="AE92" i="1" a="1"/>
  <c r="AE92" i="1" s="1"/>
  <c r="AE23" i="1" a="1"/>
  <c r="AE23" i="1" s="1"/>
  <c r="AE48" i="1" a="1"/>
  <c r="AE48" i="1" s="1"/>
  <c r="AE57" i="1" a="1"/>
  <c r="AE57" i="1" s="1"/>
  <c r="AE56" i="1" a="1"/>
  <c r="AE56" i="1" s="1"/>
  <c r="AE79" i="1" a="1"/>
  <c r="AE79" i="1" s="1"/>
  <c r="AE59" i="1" a="1"/>
  <c r="AE59" i="1" s="1"/>
  <c r="AE33" i="1" a="1"/>
  <c r="AE33" i="1" s="1"/>
  <c r="AE81" i="1" a="1"/>
  <c r="AE81" i="1" s="1"/>
  <c r="AE34" i="1" a="1"/>
  <c r="AE34" i="1" s="1"/>
  <c r="AE75" i="1" a="1"/>
  <c r="AE75" i="1" s="1"/>
  <c r="AE89" i="1" a="1"/>
  <c r="AE89" i="1" s="1"/>
  <c r="AE28" i="1" a="1"/>
  <c r="AE28" i="1" s="1"/>
  <c r="AE10" i="1" a="1"/>
  <c r="AE10" i="1" s="1"/>
  <c r="AE41" i="1" a="1"/>
  <c r="AE41" i="1" s="1"/>
  <c r="AE6" i="1" a="1"/>
  <c r="AE6" i="1" s="1"/>
  <c r="AE32" i="1" a="1"/>
  <c r="AE32" i="1" s="1"/>
  <c r="AE26" i="1" a="1"/>
  <c r="AE26" i="1" s="1"/>
  <c r="AE4" i="1" a="1"/>
  <c r="AE4" i="1" s="1"/>
  <c r="AE68" i="1" a="1"/>
  <c r="AE68" i="1" s="1"/>
  <c r="AE55" i="1" a="1"/>
  <c r="AE55" i="1" s="1"/>
  <c r="AE60" i="1" a="1"/>
  <c r="AE60" i="1" s="1"/>
  <c r="AE45" i="1" a="1"/>
  <c r="AE45" i="1" s="1"/>
  <c r="AE50" i="1" a="1"/>
  <c r="AE50" i="1" s="1"/>
  <c r="AE39" i="1" a="1"/>
  <c r="AE39" i="1" s="1"/>
  <c r="AE90" i="1" a="1"/>
  <c r="AE90" i="1" s="1"/>
  <c r="AE47" i="1" a="1"/>
  <c r="AE47" i="1" s="1"/>
  <c r="AE12" i="1" a="1"/>
  <c r="AE12" i="1" s="1"/>
  <c r="AE49" i="1" a="1"/>
  <c r="AE49" i="1" s="1"/>
  <c r="AE21" i="1" a="1"/>
  <c r="AE21" i="1" s="1"/>
  <c r="AE93" i="1" a="1"/>
  <c r="AE93" i="1" s="1"/>
  <c r="AE43" i="1" a="1"/>
  <c r="AE43" i="1" s="1"/>
  <c r="AE19" i="1" a="1"/>
  <c r="AE19" i="1" s="1"/>
  <c r="AE66" i="1" a="1"/>
  <c r="AE66" i="1" s="1"/>
  <c r="AE80" i="1" a="1"/>
  <c r="AE80" i="1" s="1"/>
  <c r="AE18" i="1" a="1"/>
  <c r="AE18" i="1" s="1"/>
  <c r="AE54" i="1" a="1"/>
  <c r="AE54" i="1" s="1"/>
  <c r="AE87" i="1" a="1"/>
  <c r="AE87" i="1" s="1"/>
  <c r="Z92" i="1"/>
  <c r="AA92" i="1" s="1"/>
  <c r="AE52" i="1" a="1"/>
  <c r="AE52" i="1" s="1"/>
  <c r="AE86" i="1" a="1"/>
  <c r="AE86" i="1" s="1"/>
  <c r="AE71" i="1" a="1"/>
  <c r="AE71" i="1" s="1"/>
  <c r="AE38" i="1" a="1"/>
  <c r="AE38" i="1" s="1"/>
  <c r="AE73" i="1" a="1"/>
  <c r="AE73" i="1" s="1"/>
  <c r="AE51" i="1" a="1"/>
  <c r="AE51" i="1" s="1"/>
  <c r="AE82" i="1" a="1"/>
  <c r="AE82" i="1" s="1"/>
  <c r="AE13" i="1" a="1"/>
  <c r="AE13" i="1" s="1"/>
  <c r="AE46" i="1" a="1"/>
  <c r="AE46" i="1" s="1"/>
  <c r="AE29" i="1" a="1"/>
  <c r="AE29" i="1" s="1"/>
  <c r="AE35" i="1" a="1"/>
  <c r="AE35" i="1" s="1"/>
  <c r="AE8" i="1" a="1"/>
  <c r="AE8" i="1" s="1"/>
  <c r="AE62" i="1" a="1"/>
  <c r="AE62" i="1" s="1"/>
  <c r="AE88" i="1" a="1"/>
  <c r="AE88" i="1" s="1"/>
  <c r="AE5" i="1" a="1"/>
  <c r="AE5" i="1" s="1"/>
  <c r="AE83" i="1" a="1"/>
  <c r="AE83" i="1" s="1"/>
  <c r="AE24" i="1" a="1"/>
  <c r="AE24" i="1" s="1"/>
  <c r="AE91" i="1" a="1"/>
  <c r="AE91" i="1" s="1"/>
  <c r="Z63" i="1"/>
  <c r="AA63" i="1" s="1"/>
  <c r="AE64" i="1" a="1"/>
  <c r="AE64" i="1" s="1"/>
  <c r="AE20" i="1" a="1"/>
  <c r="AE20" i="1" s="1"/>
  <c r="AE85" i="1" a="1"/>
  <c r="AE85" i="1" s="1"/>
  <c r="AE67" i="1" a="1"/>
  <c r="AE67" i="1" s="1"/>
  <c r="AE11" i="1" a="1"/>
  <c r="AE11" i="1" s="1"/>
  <c r="AE53" i="1" a="1"/>
  <c r="AE53" i="1" s="1"/>
  <c r="AE7" i="1" a="1"/>
  <c r="AE7" i="1" s="1"/>
  <c r="AE77" i="1" a="1"/>
  <c r="AE77" i="1" s="1"/>
  <c r="AE72" i="1" a="1"/>
  <c r="AE72" i="1" s="1"/>
  <c r="AE17" i="1" a="1"/>
  <c r="AE17" i="1" s="1"/>
  <c r="AE31" i="1" a="1"/>
  <c r="AE31" i="1" s="1"/>
  <c r="AE16" i="1" a="1"/>
  <c r="AE16" i="1" s="1"/>
  <c r="Z25" i="1"/>
  <c r="AA25" i="1" s="1"/>
  <c r="AE78" i="1" a="1"/>
  <c r="AE78" i="1" s="1"/>
  <c r="AE61" i="1" a="1"/>
  <c r="AE61" i="1" s="1"/>
  <c r="AE76" i="1" a="1"/>
  <c r="AE76" i="1" s="1"/>
  <c r="AE15" i="1" a="1"/>
  <c r="AE15" i="1" s="1"/>
  <c r="AE74" i="1" a="1"/>
  <c r="AE74" i="1" s="1"/>
  <c r="AE58" i="1" a="1"/>
  <c r="AE58" i="1" s="1"/>
  <c r="AE70" i="1" a="1"/>
  <c r="AE70" i="1" s="1"/>
  <c r="AE30" i="1" a="1"/>
  <c r="AE30" i="1" s="1"/>
  <c r="AE22" i="1" a="1"/>
  <c r="AE22" i="1" s="1"/>
  <c r="AE69" i="1" a="1"/>
  <c r="AE69" i="1" s="1"/>
  <c r="AE36" i="1" a="1"/>
  <c r="AE36" i="1" s="1"/>
  <c r="AE44" i="1" a="1"/>
  <c r="AE44" i="1" s="1"/>
  <c r="AE27" i="1" a="1"/>
  <c r="AE27" i="1" s="1"/>
  <c r="AE84" i="1" a="1"/>
  <c r="AE84" i="1" s="1"/>
  <c r="AE65" i="1" a="1"/>
  <c r="AE65" i="1" s="1"/>
  <c r="AE42" i="1" a="1"/>
  <c r="AE42" i="1" s="1"/>
  <c r="AE9" i="1" a="1"/>
  <c r="AE9" i="1" s="1"/>
  <c r="AE37" i="1" a="1"/>
  <c r="AE37" i="1" s="1"/>
  <c r="AE40" i="1" a="1"/>
  <c r="AE40" i="1" s="1"/>
  <c r="AE14" i="1" a="1"/>
  <c r="AE14" i="1" s="1"/>
  <c r="Z74" i="1"/>
  <c r="AA74" i="1" s="1"/>
  <c r="Z48" i="1"/>
  <c r="AA48" i="1" s="1"/>
  <c r="Z56" i="1"/>
  <c r="AA56" i="1" s="1"/>
  <c r="Z84" i="1"/>
  <c r="AA84" i="1" s="1"/>
  <c r="Z17" i="1"/>
  <c r="AA17" i="1" s="1"/>
  <c r="Z38" i="1"/>
  <c r="AA38" i="1" s="1"/>
  <c r="Z62" i="1"/>
  <c r="AA62" i="1" s="1"/>
  <c r="Z10" i="1"/>
  <c r="AA10" i="1" s="1"/>
  <c r="Z86" i="1"/>
  <c r="AA86" i="1" s="1"/>
  <c r="Z80" i="1"/>
  <c r="AA80" i="1" s="1"/>
  <c r="Z60" i="1"/>
  <c r="AA60" i="1" s="1"/>
  <c r="Z42" i="1"/>
  <c r="AA42" i="1" s="1"/>
  <c r="Z15" i="1"/>
  <c r="AA15" i="1" s="1"/>
  <c r="Z65" i="1"/>
  <c r="AA65" i="1" s="1"/>
  <c r="Z78" i="1"/>
  <c r="AA78" i="1" s="1"/>
  <c r="Z70" i="1"/>
  <c r="AA70" i="1" s="1"/>
  <c r="Z71" i="1"/>
  <c r="AA71" i="1" s="1"/>
  <c r="Z21" i="1"/>
  <c r="AA21" i="1" s="1"/>
  <c r="Z55" i="1"/>
  <c r="AA55" i="1" s="1"/>
  <c r="Z52" i="1"/>
  <c r="AA52" i="1" s="1"/>
  <c r="Z34" i="1"/>
  <c r="AA34" i="1" s="1"/>
  <c r="Z66" i="1"/>
  <c r="AA66" i="1" s="1"/>
  <c r="Z44" i="1"/>
  <c r="AA44" i="1" s="1"/>
  <c r="Z59" i="1"/>
  <c r="AA59" i="1" s="1"/>
  <c r="Z82" i="1"/>
  <c r="AA82" i="1" s="1"/>
  <c r="Z85" i="1"/>
  <c r="AA85" i="1" s="1"/>
  <c r="Z27" i="1"/>
  <c r="AA27" i="1" s="1"/>
  <c r="Z58" i="1"/>
  <c r="AA58" i="1" s="1"/>
  <c r="Z20" i="1"/>
  <c r="AA20" i="1" s="1"/>
  <c r="Z12" i="1"/>
  <c r="AA12" i="1" s="1"/>
  <c r="Z89" i="1"/>
  <c r="AA89" i="1" s="1"/>
  <c r="Z32" i="1"/>
  <c r="AA32" i="1" s="1"/>
  <c r="Z81" i="1"/>
  <c r="AA81" i="1" s="1"/>
  <c r="Z19" i="1"/>
  <c r="AA19" i="1" s="1"/>
  <c r="Z30" i="1"/>
  <c r="AA30" i="1" s="1"/>
  <c r="Z61" i="1"/>
  <c r="AA61" i="1" s="1"/>
  <c r="Z72" i="1"/>
  <c r="AA72" i="1" s="1"/>
  <c r="Z36" i="1"/>
  <c r="AA36" i="1" s="1"/>
  <c r="Z29" i="1"/>
  <c r="AA29" i="1" s="1"/>
  <c r="Z77" i="1"/>
  <c r="AA77" i="1" s="1"/>
  <c r="Z87" i="1"/>
  <c r="AA87" i="1" s="1"/>
  <c r="Z47" i="1"/>
  <c r="AA47" i="1" s="1"/>
  <c r="Z68" i="1"/>
  <c r="AA68" i="1" s="1"/>
  <c r="Z33" i="1"/>
  <c r="AA33" i="1" s="1"/>
  <c r="Z35" i="1"/>
  <c r="AA35" i="1" s="1"/>
  <c r="Z67" i="1"/>
  <c r="AA67" i="1" s="1"/>
  <c r="Z16" i="1"/>
  <c r="AA16" i="1" s="1"/>
  <c r="Z64" i="1"/>
  <c r="AA64" i="1" s="1"/>
  <c r="Z4" i="1"/>
  <c r="Z13" i="1"/>
  <c r="AA13" i="1" s="1"/>
  <c r="Z54" i="1"/>
  <c r="AA54" i="1" s="1"/>
  <c r="Z26" i="1"/>
  <c r="AA26" i="1" s="1"/>
  <c r="Z79" i="1"/>
  <c r="AA79" i="1" s="1"/>
  <c r="Z7" i="1"/>
  <c r="AA7" i="1" s="1"/>
  <c r="Z23" i="1"/>
  <c r="AA23" i="1" s="1"/>
  <c r="Z69" i="1"/>
  <c r="AA69" i="1" s="1"/>
  <c r="Z11" i="1"/>
  <c r="AA11" i="1" s="1"/>
  <c r="Z90" i="1"/>
  <c r="AA90" i="1" s="1"/>
  <c r="Z18" i="1"/>
  <c r="AA18" i="1" s="1"/>
  <c r="Z57" i="1"/>
  <c r="AA57" i="1" s="1"/>
  <c r="Z40" i="1"/>
  <c r="AA40" i="1" s="1"/>
  <c r="Z53" i="1"/>
  <c r="AA53" i="1" s="1"/>
  <c r="Z91" i="1"/>
  <c r="AA91" i="1" s="1"/>
  <c r="Z51" i="1"/>
  <c r="AA51" i="1" s="1"/>
  <c r="Z6" i="1"/>
  <c r="AA6" i="1" s="1"/>
  <c r="Z14" i="1"/>
  <c r="AA14" i="1" s="1"/>
  <c r="Z24" i="1"/>
  <c r="AA24" i="1" s="1"/>
  <c r="Z31" i="1"/>
  <c r="AA31" i="1" s="1"/>
  <c r="Z73" i="1"/>
  <c r="AA73" i="1" s="1"/>
  <c r="Z43" i="1"/>
  <c r="AA43" i="1" s="1"/>
  <c r="Z46" i="1"/>
  <c r="AA46" i="1" s="1"/>
  <c r="Z88" i="1"/>
  <c r="AA88" i="1" s="1"/>
  <c r="Z28" i="1"/>
  <c r="AA28" i="1" s="1"/>
  <c r="Z50" i="1"/>
  <c r="AA50" i="1" s="1"/>
  <c r="Z76" i="1"/>
  <c r="AA76" i="1" s="1"/>
  <c r="Z41" i="1"/>
  <c r="AA41" i="1" s="1"/>
  <c r="Z9" i="1"/>
  <c r="AA9" i="1" s="1"/>
  <c r="Z83" i="1"/>
  <c r="AA83" i="1" s="1"/>
  <c r="Z22" i="1"/>
  <c r="AA22" i="1" s="1"/>
  <c r="Z49" i="1"/>
  <c r="AA49" i="1" s="1"/>
  <c r="Z93" i="1"/>
  <c r="AA93" i="1" s="1"/>
  <c r="Z39" i="1"/>
  <c r="AA39" i="1" s="1"/>
  <c r="Z8" i="1"/>
  <c r="AA8" i="1" s="1"/>
  <c r="Z75" i="1"/>
  <c r="AA75" i="1" s="1"/>
  <c r="Z45" i="1"/>
  <c r="AA45" i="1" s="1"/>
  <c r="Z37" i="1"/>
  <c r="AA37" i="1" s="1"/>
  <c r="Z5" i="1"/>
  <c r="AA5" i="1" s="1"/>
  <c r="Z94" i="1" l="1"/>
  <c r="AA4" i="1"/>
  <c r="AA94" i="1" s="1"/>
  <c r="AE94" i="1"/>
  <c r="AE9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<sst xmlns="http://schemas.openxmlformats.org/spreadsheetml/2006/main" count="701" uniqueCount="194">
  <si>
    <t>SWCD NAME</t>
  </si>
  <si>
    <t>TOTAL ACRES</t>
  </si>
  <si>
    <t>FEDERAL ACRES</t>
  </si>
  <si>
    <t>STATE ACRES</t>
  </si>
  <si>
    <t>NON FEDERAL / STATE ACRES</t>
  </si>
  <si>
    <t>Other Public Acres (County, Municipal , Regional</t>
  </si>
  <si>
    <t>Population</t>
  </si>
  <si>
    <t xml:space="preserve">Percent of Population </t>
  </si>
  <si>
    <t>Cube root of population</t>
  </si>
  <si>
    <t>Percent of Population cube root per district</t>
  </si>
  <si>
    <t>PUBLIC WATER MILES</t>
  </si>
  <si>
    <t>Percent of Public Waters</t>
  </si>
  <si>
    <t>Allocation Amount Base + % Non-Public Land + Population (Tier)</t>
  </si>
  <si>
    <t>Allocation Amount by Formula Non-State Non Federal Non Tribal Non County NonMunicipal (Non-public lands)+ cuberoot  + base</t>
  </si>
  <si>
    <t>Allocation Amount by Formula % Non-public lands +% population + Base</t>
  </si>
  <si>
    <t>Allocation Amount by Formula %Non Public Lands  + Base</t>
  </si>
  <si>
    <t>Cap number</t>
  </si>
  <si>
    <t>Floor Number</t>
  </si>
  <si>
    <t>Formula Calulation % Non-Public LandS,% population + base</t>
  </si>
  <si>
    <t>Formula Calculation with Cap + redistributed amount</t>
  </si>
  <si>
    <t>Redistribution</t>
  </si>
  <si>
    <t>Base +%NP LandsFormula Calculation with Cap &amp; Floor Redistributed</t>
  </si>
  <si>
    <t xml:space="preserve">Allocation Amount by Formula Base + %Non Public Lands  </t>
  </si>
  <si>
    <t>SWCD</t>
  </si>
  <si>
    <t>Max Amount</t>
  </si>
  <si>
    <t>Min Amount</t>
  </si>
  <si>
    <t>Cap and Floor</t>
  </si>
  <si>
    <t>70-20-10 (3)</t>
  </si>
  <si>
    <t>70-20-10 (4)</t>
  </si>
  <si>
    <t>70-20-10 (5)</t>
  </si>
  <si>
    <t>70-30</t>
  </si>
  <si>
    <t>80-20</t>
  </si>
  <si>
    <t>90-10</t>
  </si>
  <si>
    <t>95-5</t>
  </si>
  <si>
    <t>SWCD Aid Amount</t>
  </si>
  <si>
    <t>3 tiers</t>
  </si>
  <si>
    <t>4 tiers</t>
  </si>
  <si>
    <t>5 tiers</t>
  </si>
  <si>
    <t>Amount</t>
  </si>
  <si>
    <t>Aitkin</t>
  </si>
  <si>
    <t>Anoka</t>
  </si>
  <si>
    <t>Distribution formula</t>
  </si>
  <si>
    <t>Becker</t>
  </si>
  <si>
    <t>Beltrami</t>
  </si>
  <si>
    <t>Equal Distribution</t>
  </si>
  <si>
    <t>Benton</t>
  </si>
  <si>
    <t>Private Land (WBIF def)</t>
  </si>
  <si>
    <t>Big Stone</t>
  </si>
  <si>
    <t>Formula</t>
  </si>
  <si>
    <t>Blue Earth</t>
  </si>
  <si>
    <t>Population Density</t>
  </si>
  <si>
    <t>Brown</t>
  </si>
  <si>
    <t>Water Miles</t>
  </si>
  <si>
    <t>Carlton</t>
  </si>
  <si>
    <t>_NS-NF-NC-NM Priv Lands</t>
  </si>
  <si>
    <t>Carver</t>
  </si>
  <si>
    <t>TOTAL</t>
  </si>
  <si>
    <t>Cass</t>
  </si>
  <si>
    <t>Using Tiers?  (y/n)</t>
  </si>
  <si>
    <t>n</t>
  </si>
  <si>
    <t>Chippewa</t>
  </si>
  <si>
    <t>Cap Amount</t>
  </si>
  <si>
    <t>Chisago</t>
  </si>
  <si>
    <t>Floor amount</t>
  </si>
  <si>
    <t>Clay</t>
  </si>
  <si>
    <t>Population Bracket</t>
  </si>
  <si>
    <t>Clearwater</t>
  </si>
  <si>
    <t>Population Third</t>
  </si>
  <si>
    <t>Allocation Amount</t>
  </si>
  <si>
    <t>Cook</t>
  </si>
  <si>
    <t>Less than 14,463</t>
  </si>
  <si>
    <t>Cottonwood</t>
  </si>
  <si>
    <t>Between 14,464 &amp; 35,609</t>
  </si>
  <si>
    <t>Crow Wing</t>
  </si>
  <si>
    <t>Greater than 35,609</t>
  </si>
  <si>
    <t>Dakota</t>
  </si>
  <si>
    <t>Dodge</t>
  </si>
  <si>
    <t>Douglas</t>
  </si>
  <si>
    <t>Faribault</t>
  </si>
  <si>
    <t>Population Density Bracket</t>
  </si>
  <si>
    <t>Fillmore</t>
  </si>
  <si>
    <t>Greater than</t>
  </si>
  <si>
    <t>Freeborn</t>
  </si>
  <si>
    <t>Goodhue</t>
  </si>
  <si>
    <t>Less than</t>
  </si>
  <si>
    <t>Grant</t>
  </si>
  <si>
    <t>Hennepin</t>
  </si>
  <si>
    <t>Hubbard</t>
  </si>
  <si>
    <t>Weighted Formula Amount</t>
  </si>
  <si>
    <t>Isanti</t>
  </si>
  <si>
    <t>Base</t>
  </si>
  <si>
    <t>Itasca</t>
  </si>
  <si>
    <t>Base/SWCD</t>
  </si>
  <si>
    <t>Jackson</t>
  </si>
  <si>
    <t>Remaining</t>
  </si>
  <si>
    <t>Kanabec</t>
  </si>
  <si>
    <t>Kandiyohi</t>
  </si>
  <si>
    <t>Kittson</t>
  </si>
  <si>
    <t>Koochiching</t>
  </si>
  <si>
    <t>% of Formula Distribution</t>
  </si>
  <si>
    <t>Lac Qui Parle</t>
  </si>
  <si>
    <t>Lake</t>
  </si>
  <si>
    <t>Lake of the Woods</t>
  </si>
  <si>
    <t>Le Sueur</t>
  </si>
  <si>
    <t>Lincoln</t>
  </si>
  <si>
    <t>NS-NF-NT-NC-NM Priv Lands</t>
  </si>
  <si>
    <t>Lyon</t>
  </si>
  <si>
    <t>Total</t>
  </si>
  <si>
    <t>Mahnomen</t>
  </si>
  <si>
    <t>Marshall</t>
  </si>
  <si>
    <t>Quartile &amp; No of SWCDs</t>
  </si>
  <si>
    <t>Pop. Of Quartiles</t>
  </si>
  <si>
    <t xml:space="preserve">% of total pop </t>
  </si>
  <si>
    <t>Martin</t>
  </si>
  <si>
    <t>Quartile 1--23</t>
  </si>
  <si>
    <t>McLeod</t>
  </si>
  <si>
    <t>Quartile2--22</t>
  </si>
  <si>
    <t>Meeker</t>
  </si>
  <si>
    <t>Quartile3--22</t>
  </si>
  <si>
    <t>Mille Lacs</t>
  </si>
  <si>
    <t>Quartile4--23</t>
  </si>
  <si>
    <t>Morrison</t>
  </si>
  <si>
    <t>Total Population</t>
  </si>
  <si>
    <t>Mower</t>
  </si>
  <si>
    <t>Murray</t>
  </si>
  <si>
    <t>Quintile &amp; No. Of SWCDs</t>
  </si>
  <si>
    <t xml:space="preserve">Pop of Quintiles </t>
  </si>
  <si>
    <t>Nicollet</t>
  </si>
  <si>
    <t>Quintile 1-18</t>
  </si>
  <si>
    <t>Nobles</t>
  </si>
  <si>
    <t>Quintile 2-18</t>
  </si>
  <si>
    <t>Norman</t>
  </si>
  <si>
    <t>Quintile 3-18</t>
  </si>
  <si>
    <t>Olmsted</t>
  </si>
  <si>
    <t>Quintile 4-18</t>
  </si>
  <si>
    <t>Ottertail East</t>
  </si>
  <si>
    <t>Quintile 5-18</t>
  </si>
  <si>
    <t>Ottertail West</t>
  </si>
  <si>
    <t>Pennington</t>
  </si>
  <si>
    <t>Pine</t>
  </si>
  <si>
    <t>Thirds and No of SWCDs</t>
  </si>
  <si>
    <t>Pop of Thirds</t>
  </si>
  <si>
    <t>Pipestone</t>
  </si>
  <si>
    <t>Bottom third--30</t>
  </si>
  <si>
    <t>Polk East</t>
  </si>
  <si>
    <t>Middle third--30</t>
  </si>
  <si>
    <t>Polk West</t>
  </si>
  <si>
    <t>Top third--30</t>
  </si>
  <si>
    <t>Pope</t>
  </si>
  <si>
    <t>Ramsey</t>
  </si>
  <si>
    <t>Red Lake</t>
  </si>
  <si>
    <t>Redwood</t>
  </si>
  <si>
    <t>Renville</t>
  </si>
  <si>
    <t>Rice</t>
  </si>
  <si>
    <t xml:space="preserve">Notes:  </t>
  </si>
  <si>
    <t>Column X is Sheila's original calculation</t>
  </si>
  <si>
    <t>Rock</t>
  </si>
  <si>
    <t>Entries in Buff-colored cells can be changed and will roll through the formula</t>
  </si>
  <si>
    <t>Root River</t>
  </si>
  <si>
    <t>Roseau</t>
  </si>
  <si>
    <t>Saint Louis North</t>
  </si>
  <si>
    <t>Saint Louis South</t>
  </si>
  <si>
    <t>Scott</t>
  </si>
  <si>
    <t>Sherburne</t>
  </si>
  <si>
    <t>Sibley</t>
  </si>
  <si>
    <t>Stearns</t>
  </si>
  <si>
    <t>Steele</t>
  </si>
  <si>
    <t>Stevens</t>
  </si>
  <si>
    <t>Swift</t>
  </si>
  <si>
    <t>Todd</t>
  </si>
  <si>
    <t>Traverse</t>
  </si>
  <si>
    <t>Wabasha</t>
  </si>
  <si>
    <t>Wadena</t>
  </si>
  <si>
    <t>Waseca</t>
  </si>
  <si>
    <t>Washington</t>
  </si>
  <si>
    <t>Watonwan</t>
  </si>
  <si>
    <t>Wilkin</t>
  </si>
  <si>
    <t>Winona</t>
  </si>
  <si>
    <t>Wright</t>
  </si>
  <si>
    <t>Yellow Medicine</t>
  </si>
  <si>
    <t># of SWCD</t>
  </si>
  <si>
    <t>Amount above cap</t>
  </si>
  <si>
    <t>Subtract floor amount</t>
  </si>
  <si>
    <t>Cap to redistribute</t>
  </si>
  <si>
    <t>Amount below floor</t>
  </si>
  <si>
    <t>PUBLIC WATER NON-WETLAND BASIN ACRES</t>
  </si>
  <si>
    <t>Total NF NS NT NC NM Land Area</t>
  </si>
  <si>
    <t>Percent of Non-State Non-Federal Non Tribal Non County Non Municipal  Land Acres</t>
  </si>
  <si>
    <t>80-10-10</t>
  </si>
  <si>
    <t>$15M</t>
  </si>
  <si>
    <t>TRIBAL ACRES Included  in NF/NS</t>
  </si>
  <si>
    <t>between the total aid amount (B2) and the calculated amount</t>
  </si>
  <si>
    <t>Aid Amount Rounded to Penny</t>
  </si>
  <si>
    <t>Aid Amount at $12M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</si>
</sst>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#,##0.00000"/>
    <numFmt numFmtId="166" formatCode="_(* #,##0_);_(* \(#,##0\);_(* &quot;-&quot;??_);_(@_)"/>
    <numFmt numFmtId="167" formatCode="0.0000"/>
    <numFmt numFmtId="168" formatCode="0.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34998626667073579"/>
        <bgColor theme="1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00B0F0"/>
        <bgColor theme="0" tint="-0.14999847407452621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DEBF7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 style="thin">
        <color rgb="FF9BC2E6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1"/>
      </left>
      <right/>
      <top style="thin">
        <color rgb="FF5B9BD4"/>
      </top>
      <bottom/>
      <diagonal/>
    </border>
    <border>
      <left style="thin">
        <color theme="1"/>
      </left>
      <right/>
      <top style="double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1">
    <xf numFmtId="0" fontId="0" fillId="0" borderId="0" xfId="0"/>
    <xf numFmtId="1" fontId="2" fillId="2" borderId="1" xfId="0" applyNumberFormat="1" applyFont="1" applyFill="1" applyBorder="1" applyAlignment="1">
      <alignment horizontal="center" wrapText="1"/>
    </xf>
    <xf numFmtId="3" fontId="2" fillId="2" borderId="1" xfId="0" applyNumberFormat="1" applyFont="1" applyFill="1" applyBorder="1" applyAlignment="1">
      <alignment horizontal="center" wrapText="1"/>
    </xf>
    <xf numFmtId="164" fontId="2" fillId="2" borderId="0" xfId="2" applyNumberFormat="1" applyFont="1" applyFill="1" applyBorder="1" applyAlignment="1">
      <alignment horizontal="center" wrapText="1"/>
    </xf>
    <xf numFmtId="3" fontId="2" fillId="2" borderId="2" xfId="0" applyNumberFormat="1" applyFont="1" applyFill="1" applyBorder="1" applyAlignment="1">
      <alignment horizontal="center" wrapText="1"/>
    </xf>
    <xf numFmtId="164" fontId="2" fillId="3" borderId="3" xfId="2" applyNumberFormat="1" applyFont="1" applyFill="1" applyBorder="1" applyAlignment="1">
      <alignment horizontal="center" wrapText="1"/>
    </xf>
    <xf numFmtId="164" fontId="2" fillId="3" borderId="4" xfId="2" applyNumberFormat="1" applyFont="1" applyFill="1" applyBorder="1" applyAlignment="1">
      <alignment horizontal="center" wrapText="1"/>
    </xf>
    <xf numFmtId="3" fontId="2" fillId="3" borderId="5" xfId="0" applyNumberFormat="1" applyFont="1" applyFill="1" applyBorder="1" applyAlignment="1">
      <alignment horizontal="center" wrapText="1"/>
    </xf>
    <xf numFmtId="164" fontId="2" fillId="2" borderId="6" xfId="2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2" fillId="0" borderId="1" xfId="0" applyNumberFormat="1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3" fontId="2" fillId="4" borderId="1" xfId="0" applyNumberFormat="1" applyFont="1" applyFill="1" applyBorder="1" applyAlignment="1">
      <alignment horizontal="center" wrapText="1"/>
    </xf>
    <xf numFmtId="164" fontId="3" fillId="0" borderId="7" xfId="2" applyNumberFormat="1" applyFont="1" applyFill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3" fontId="2" fillId="0" borderId="7" xfId="0" applyNumberFormat="1" applyFont="1" applyBorder="1" applyAlignment="1">
      <alignment horizontal="center" wrapText="1"/>
    </xf>
    <xf numFmtId="164" fontId="0" fillId="0" borderId="7" xfId="0" applyNumberFormat="1" applyBorder="1"/>
    <xf numFmtId="164" fontId="0" fillId="0" borderId="7" xfId="2" applyNumberFormat="1" applyFont="1" applyFill="1" applyBorder="1"/>
    <xf numFmtId="0" fontId="0" fillId="0" borderId="7" xfId="0" applyBorder="1"/>
    <xf numFmtId="0" fontId="0" fillId="0" borderId="0" xfId="0" applyAlignment="1">
      <alignment horizontal="center"/>
    </xf>
    <xf numFmtId="164" fontId="0" fillId="0" borderId="0" xfId="2" applyNumberFormat="1" applyFont="1" applyFill="1" applyAlignment="1">
      <alignment horizontal="center"/>
    </xf>
    <xf numFmtId="164" fontId="0" fillId="0" borderId="0" xfId="0" applyNumberFormat="1"/>
    <xf numFmtId="0" fontId="4" fillId="0" borderId="0" xfId="0" applyFont="1" applyAlignment="1">
      <alignment wrapText="1"/>
    </xf>
    <xf numFmtId="164" fontId="4" fillId="5" borderId="0" xfId="2" applyNumberFormat="1" applyFont="1" applyFill="1"/>
    <xf numFmtId="1" fontId="3" fillId="6" borderId="1" xfId="0" applyNumberFormat="1" applyFont="1" applyFill="1" applyBorder="1" applyAlignment="1">
      <alignment horizontal="center" wrapText="1"/>
    </xf>
    <xf numFmtId="3" fontId="3" fillId="6" borderId="1" xfId="0" applyNumberFormat="1" applyFont="1" applyFill="1" applyBorder="1" applyAlignment="1">
      <alignment horizontal="center" wrapText="1"/>
    </xf>
    <xf numFmtId="3" fontId="3" fillId="7" borderId="1" xfId="0" applyNumberFormat="1" applyFont="1" applyFill="1" applyBorder="1" applyAlignment="1">
      <alignment horizontal="center" wrapText="1"/>
    </xf>
    <xf numFmtId="4" fontId="0" fillId="0" borderId="7" xfId="0" applyNumberFormat="1" applyBorder="1"/>
    <xf numFmtId="164" fontId="0" fillId="0" borderId="7" xfId="2" applyNumberFormat="1" applyFont="1" applyBorder="1"/>
    <xf numFmtId="4" fontId="0" fillId="8" borderId="7" xfId="0" applyNumberFormat="1" applyFill="1" applyBorder="1"/>
    <xf numFmtId="9" fontId="0" fillId="0" borderId="0" xfId="3" applyFont="1"/>
    <xf numFmtId="164" fontId="0" fillId="0" borderId="0" xfId="2" applyNumberFormat="1" applyFont="1" applyAlignment="1">
      <alignment horizontal="center"/>
    </xf>
    <xf numFmtId="1" fontId="0" fillId="0" borderId="8" xfId="0" applyNumberFormat="1" applyBorder="1" applyAlignment="1">
      <alignment horizontal="right"/>
    </xf>
    <xf numFmtId="3" fontId="0" fillId="0" borderId="8" xfId="0" applyNumberFormat="1" applyBorder="1" applyAlignment="1">
      <alignment horizontal="center"/>
    </xf>
    <xf numFmtId="3" fontId="0" fillId="4" borderId="2" xfId="0" applyNumberForma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3" fontId="5" fillId="9" borderId="9" xfId="0" applyNumberFormat="1" applyFont="1" applyFill="1" applyBorder="1" applyAlignment="1">
      <alignment horizontal="right" vertical="top" indent="1" shrinkToFit="1"/>
    </xf>
    <xf numFmtId="165" fontId="5" fillId="9" borderId="8" xfId="0" applyNumberFormat="1" applyFont="1" applyFill="1" applyBorder="1" applyAlignment="1">
      <alignment horizontal="right" vertical="top" indent="1" shrinkToFit="1"/>
    </xf>
    <xf numFmtId="165" fontId="0" fillId="0" borderId="8" xfId="0" applyNumberFormat="1" applyBorder="1" applyAlignment="1">
      <alignment horizontal="center"/>
    </xf>
    <xf numFmtId="164" fontId="0" fillId="8" borderId="7" xfId="2" applyNumberFormat="1" applyFont="1" applyFill="1" applyBorder="1"/>
    <xf numFmtId="164" fontId="0" fillId="0" borderId="0" xfId="2" applyNumberFormat="1" applyFont="1"/>
    <xf numFmtId="1" fontId="0" fillId="6" borderId="8" xfId="0" applyNumberFormat="1" applyFill="1" applyBorder="1" applyAlignment="1">
      <alignment horizontal="right"/>
    </xf>
    <xf numFmtId="3" fontId="0" fillId="6" borderId="8" xfId="0" applyNumberFormat="1" applyFill="1" applyBorder="1" applyAlignment="1">
      <alignment horizontal="center"/>
    </xf>
    <xf numFmtId="3" fontId="0" fillId="7" borderId="2" xfId="0" applyNumberFormat="1" applyFill="1" applyBorder="1" applyAlignment="1">
      <alignment horizontal="center"/>
    </xf>
    <xf numFmtId="3" fontId="5" fillId="6" borderId="9" xfId="0" applyNumberFormat="1" applyFont="1" applyFill="1" applyBorder="1" applyAlignment="1">
      <alignment horizontal="right" vertical="top" indent="1" shrinkToFit="1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0" fillId="5" borderId="13" xfId="3" applyFont="1" applyFill="1" applyBorder="1"/>
    <xf numFmtId="164" fontId="0" fillId="0" borderId="14" xfId="0" applyNumberFormat="1" applyBorder="1"/>
    <xf numFmtId="9" fontId="6" fillId="0" borderId="13" xfId="3" applyFont="1" applyBorder="1"/>
    <xf numFmtId="0" fontId="6" fillId="0" borderId="7" xfId="0" applyFont="1" applyBorder="1" applyAlignment="1">
      <alignment horizontal="center"/>
    </xf>
    <xf numFmtId="164" fontId="6" fillId="0" borderId="14" xfId="0" applyNumberFormat="1" applyFont="1" applyBorder="1"/>
    <xf numFmtId="0" fontId="0" fillId="0" borderId="16" xfId="0" applyBorder="1"/>
    <xf numFmtId="1" fontId="0" fillId="0" borderId="17" xfId="0" applyNumberFormat="1" applyBorder="1" applyAlignment="1">
      <alignment horizontal="right"/>
    </xf>
    <xf numFmtId="1" fontId="0" fillId="6" borderId="17" xfId="0" applyNumberFormat="1" applyFill="1" applyBorder="1" applyAlignment="1">
      <alignment horizontal="right"/>
    </xf>
    <xf numFmtId="44" fontId="0" fillId="0" borderId="14" xfId="0" applyNumberFormat="1" applyBorder="1"/>
    <xf numFmtId="0" fontId="0" fillId="0" borderId="20" xfId="0" applyBorder="1"/>
    <xf numFmtId="164" fontId="0" fillId="0" borderId="16" xfId="0" applyNumberFormat="1" applyBorder="1"/>
    <xf numFmtId="0" fontId="7" fillId="0" borderId="24" xfId="0" applyFont="1" applyBorder="1"/>
    <xf numFmtId="0" fontId="0" fillId="0" borderId="25" xfId="0" applyBorder="1"/>
    <xf numFmtId="0" fontId="0" fillId="0" borderId="26" xfId="0" applyBorder="1" applyAlignment="1">
      <alignment wrapText="1"/>
    </xf>
    <xf numFmtId="0" fontId="0" fillId="0" borderId="27" xfId="0" applyBorder="1"/>
    <xf numFmtId="0" fontId="0" fillId="0" borderId="26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3" fontId="5" fillId="6" borderId="31" xfId="0" applyNumberFormat="1" applyFont="1" applyFill="1" applyBorder="1" applyAlignment="1">
      <alignment horizontal="right" vertical="top" indent="1" shrinkToFit="1"/>
    </xf>
    <xf numFmtId="1" fontId="0" fillId="0" borderId="32" xfId="0" applyNumberFormat="1" applyBorder="1" applyAlignment="1">
      <alignment horizontal="right"/>
    </xf>
    <xf numFmtId="3" fontId="0" fillId="0" borderId="32" xfId="0" applyNumberFormat="1" applyBorder="1" applyAlignment="1">
      <alignment horizontal="center"/>
    </xf>
    <xf numFmtId="1" fontId="0" fillId="0" borderId="0" xfId="0" applyNumberFormat="1"/>
    <xf numFmtId="3" fontId="0" fillId="0" borderId="0" xfId="0" applyNumberFormat="1"/>
    <xf numFmtId="3" fontId="2" fillId="2" borderId="1" xfId="0" applyNumberFormat="1" applyFont="1" applyFill="1" applyBorder="1" applyAlignment="1">
      <alignment wrapText="1"/>
    </xf>
    <xf numFmtId="3" fontId="5" fillId="9" borderId="8" xfId="0" applyNumberFormat="1" applyFont="1" applyFill="1" applyBorder="1" applyAlignment="1">
      <alignment horizontal="right" vertical="top" indent="1" shrinkToFit="1"/>
    </xf>
    <xf numFmtId="3" fontId="2" fillId="2" borderId="33" xfId="0" applyNumberFormat="1" applyFont="1" applyFill="1" applyBorder="1" applyAlignment="1">
      <alignment wrapText="1"/>
    </xf>
    <xf numFmtId="0" fontId="8" fillId="0" borderId="27" xfId="0" applyFont="1" applyBorder="1"/>
    <xf numFmtId="0" fontId="0" fillId="10" borderId="0" xfId="0" applyFill="1"/>
    <xf numFmtId="0" fontId="0" fillId="10" borderId="0" xfId="0" applyFill="1" applyAlignment="1">
      <alignment horizontal="left"/>
    </xf>
    <xf numFmtId="166" fontId="0" fillId="10" borderId="0" xfId="1" applyNumberFormat="1" applyFont="1" applyFill="1"/>
    <xf numFmtId="168" fontId="0" fillId="10" borderId="0" xfId="0" applyNumberFormat="1" applyFill="1"/>
    <xf numFmtId="166" fontId="0" fillId="10" borderId="0" xfId="0" applyNumberFormat="1" applyFill="1"/>
    <xf numFmtId="0" fontId="0" fillId="10" borderId="10" xfId="0" applyFill="1" applyBorder="1"/>
    <xf numFmtId="0" fontId="0" fillId="10" borderId="12" xfId="0" applyFill="1" applyBorder="1"/>
    <xf numFmtId="0" fontId="0" fillId="10" borderId="13" xfId="0" applyFill="1" applyBorder="1"/>
    <xf numFmtId="9" fontId="0" fillId="10" borderId="14" xfId="0" applyNumberFormat="1" applyFill="1" applyBorder="1"/>
    <xf numFmtId="9" fontId="0" fillId="10" borderId="14" xfId="3" applyFont="1" applyFill="1" applyBorder="1"/>
    <xf numFmtId="0" fontId="0" fillId="10" borderId="7" xfId="0" applyFill="1" applyBorder="1"/>
    <xf numFmtId="0" fontId="0" fillId="10" borderId="22" xfId="0" applyFill="1" applyBorder="1"/>
    <xf numFmtId="0" fontId="0" fillId="10" borderId="20" xfId="0" applyFill="1" applyBorder="1"/>
    <xf numFmtId="9" fontId="0" fillId="10" borderId="16" xfId="0" applyNumberFormat="1" applyFill="1" applyBorder="1"/>
    <xf numFmtId="0" fontId="0" fillId="10" borderId="23" xfId="0" applyFill="1" applyBorder="1"/>
    <xf numFmtId="0" fontId="0" fillId="10" borderId="0" xfId="0" applyFill="1" applyAlignment="1">
      <alignment horizontal="center"/>
    </xf>
    <xf numFmtId="167" fontId="0" fillId="10" borderId="0" xfId="0" applyNumberFormat="1" applyFill="1"/>
    <xf numFmtId="0" fontId="0" fillId="10" borderId="0" xfId="0" applyFill="1" applyAlignment="1">
      <alignment horizontal="right"/>
    </xf>
    <xf numFmtId="0" fontId="3" fillId="10" borderId="0" xfId="0" applyFont="1" applyFill="1"/>
    <xf numFmtId="0" fontId="4" fillId="10" borderId="15" xfId="0" applyFont="1" applyFill="1" applyBorder="1" applyAlignment="1">
      <alignment horizontal="center"/>
    </xf>
    <xf numFmtId="164" fontId="6" fillId="10" borderId="0" xfId="2" applyNumberFormat="1" applyFont="1" applyFill="1" applyAlignment="1">
      <alignment horizontal="center"/>
    </xf>
    <xf numFmtId="0" fontId="0" fillId="10" borderId="11" xfId="0" applyFill="1" applyBorder="1"/>
    <xf numFmtId="166" fontId="0" fillId="10" borderId="7" xfId="1" applyNumberFormat="1" applyFont="1" applyFill="1" applyBorder="1"/>
    <xf numFmtId="0" fontId="0" fillId="10" borderId="18" xfId="0" applyFill="1" applyBorder="1"/>
    <xf numFmtId="2" fontId="0" fillId="10" borderId="7" xfId="3" applyNumberFormat="1" applyFont="1" applyFill="1" applyBorder="1"/>
    <xf numFmtId="2" fontId="0" fillId="10" borderId="21" xfId="3" applyNumberFormat="1" applyFont="1" applyFill="1" applyBorder="1"/>
    <xf numFmtId="0" fontId="0" fillId="10" borderId="14" xfId="0" applyFill="1" applyBorder="1"/>
    <xf numFmtId="164" fontId="0" fillId="10" borderId="7" xfId="2" applyNumberFormat="1" applyFont="1" applyFill="1" applyBorder="1"/>
    <xf numFmtId="0" fontId="0" fillId="10" borderId="19" xfId="0" applyFill="1" applyBorder="1"/>
    <xf numFmtId="44" fontId="0" fillId="10" borderId="14" xfId="2" applyFont="1" applyFill="1" applyBorder="1"/>
    <xf numFmtId="44" fontId="0" fillId="10" borderId="16" xfId="2" applyFont="1" applyFill="1" applyBorder="1"/>
    <xf numFmtId="44" fontId="2" fillId="2" borderId="0" xfId="2" applyFont="1" applyFill="1" applyBorder="1" applyAlignment="1">
      <alignment horizontal="center" wrapText="1"/>
    </xf>
    <xf numFmtId="44" fontId="3" fillId="0" borderId="7" xfId="2" applyFont="1" applyFill="1" applyBorder="1" applyAlignment="1">
      <alignment horizontal="center" wrapText="1"/>
    </xf>
    <xf numFmtId="44" fontId="0" fillId="8" borderId="7" xfId="2" applyFont="1" applyFill="1" applyBorder="1"/>
    <xf numFmtId="44" fontId="0" fillId="0" borderId="7" xfId="2" applyFont="1" applyBorder="1"/>
    <xf numFmtId="44" fontId="0" fillId="0" borderId="0" xfId="2" applyFont="1"/>
    <xf numFmtId="44" fontId="2" fillId="2" borderId="8" xfId="2" applyNumberFormat="1" applyFont="1" applyFill="1" applyBorder="1" applyAlignment="1">
      <alignment horizontal="center"/>
    </xf>
    <xf numFmtId="44" fontId="0" fillId="0" borderId="0" xfId="2" applyNumberFormat="1" applyFont="1"/>
    <xf numFmtId="44" fontId="0" fillId="0" borderId="7" xfId="2" applyNumberFormat="1" applyFont="1" applyBorder="1" applyAlignment="1">
      <alignment horizontal="center"/>
    </xf>
    <xf numFmtId="44" fontId="0" fillId="11" borderId="7" xfId="2" applyNumberFormat="1" applyFont="1" applyFill="1" applyBorder="1"/>
    <xf numFmtId="44" fontId="0" fillId="11" borderId="0" xfId="2" applyFont="1" applyFill="1"/>
    <xf numFmtId="44" fontId="0" fillId="11" borderId="35" xfId="2" applyNumberFormat="1" applyFont="1" applyFill="1" applyBorder="1"/>
    <xf numFmtId="44" fontId="9" fillId="2" borderId="8" xfId="2" applyNumberFormat="1" applyFont="1" applyFill="1" applyBorder="1" applyAlignment="1">
      <alignment horizontal="center"/>
    </xf>
    <xf numFmtId="0" fontId="10" fillId="0" borderId="0" xfId="0" applyFont="1"/>
    <xf numFmtId="44" fontId="10" fillId="0" borderId="0" xfId="0" applyNumberFormat="1" applyFont="1"/>
    <xf numFmtId="0" fontId="9" fillId="2" borderId="17" xfId="0" applyFont="1" applyFill="1" applyBorder="1"/>
    <xf numFmtId="0" fontId="10" fillId="0" borderId="17" xfId="0" applyFont="1" applyBorder="1"/>
    <xf numFmtId="1" fontId="10" fillId="0" borderId="17" xfId="0" applyNumberFormat="1" applyFont="1" applyBorder="1" applyAlignment="1">
      <alignment horizontal="right"/>
    </xf>
    <xf numFmtId="1" fontId="10" fillId="6" borderId="17" xfId="0" applyNumberFormat="1" applyFont="1" applyFill="1" applyBorder="1" applyAlignment="1">
      <alignment horizontal="right"/>
    </xf>
    <xf numFmtId="0" fontId="10" fillId="0" borderId="34" xfId="0" applyFont="1" applyBorder="1"/>
    <xf numFmtId="44" fontId="0" fillId="8" borderId="7" xfId="2" applyNumberFormat="1" applyFont="1" applyFill="1" applyBorder="1"/>
    <xf numFmtId="44" fontId="0" fillId="0" borderId="0" xfId="0" applyNumberForma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2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9" dropStyle="combo" dx="22" fmlaLink="$AQ$2" fmlaRange="$AT$5:$AT$13" noThreeD="1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0</xdr:colOff>
          <xdr:row>1</xdr:row>
          <xdr:rowOff>22860</xdr:rowOff>
        </xdr:from>
        <xdr:to>
          <xdr:col>48</xdr:col>
          <xdr:colOff>419100</xdr:colOff>
          <xdr:row>1</xdr:row>
          <xdr:rowOff>289560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2B88C-B8C0-4709-BC83-0303B88D2B05}">
  <sheetPr>
    <tabColor rgb="FF00B050"/>
  </sheetPr>
  <dimension ref="A1:AT106"/>
  <sheetViews>
    <sheetView zoomScale="120" zoomScaleNormal="120" workbookViewId="0">
      <selection activeCell="B4" sqref="B4"/>
    </sheetView>
  </sheetViews>
  <sheetFormatPr defaultRowHeight="14.4" x14ac:dyDescent="0.3"/>
  <cols>
    <col min="1" max="1" width="27.44140625" customWidth="1"/>
    <col min="2" max="2" width="28.109375" bestFit="1" customWidth="1"/>
    <col min="3" max="3" width="19.88671875" customWidth="1"/>
    <col min="4" max="4" width="19.5546875" style="73" customWidth="1"/>
    <col min="5" max="19" width="17.33203125" style="74" customWidth="1"/>
    <col min="20" max="20" width="18.109375" style="41" customWidth="1"/>
    <col min="21" max="21" width="18.109375" style="41" hidden="1" customWidth="1"/>
    <col min="22" max="22" width="17.109375" style="41" hidden="1" customWidth="1"/>
    <col min="23" max="23" width="14.109375" hidden="1" customWidth="1"/>
    <col min="24" max="24" width="11.5546875" style="21" hidden="1" customWidth="1"/>
    <col min="25" max="25" width="16.88671875" style="41" hidden="1" customWidth="1"/>
    <col min="26" max="26" width="15.88671875" style="41" hidden="1" customWidth="1"/>
    <col min="27" max="27" width="17.44140625" hidden="1" customWidth="1"/>
    <col min="28" max="28" width="23.6640625" customWidth="1"/>
    <col min="29" max="30" width="9.109375" customWidth="1"/>
    <col min="31" max="31" width="21.44140625" hidden="1" customWidth="1"/>
    <col min="32" max="34" width="17.88671875" hidden="1" customWidth="1"/>
    <col min="35" max="35" width="12.5546875" hidden="1" customWidth="1"/>
    <col min="36" max="36" width="13.33203125" hidden="1" customWidth="1"/>
    <col min="37" max="37" width="12.5546875" hidden="1" customWidth="1"/>
    <col min="38" max="38" width="13" hidden="1" customWidth="1"/>
    <col min="39" max="40" width="12.5546875" hidden="1" customWidth="1"/>
    <col min="41" max="41" width="17.5546875" hidden="1" customWidth="1"/>
    <col min="42" max="42" width="15.6640625" hidden="1" customWidth="1"/>
    <col min="43" max="43" width="15.109375" hidden="1" customWidth="1"/>
    <col min="44" max="44" width="12.33203125" hidden="1" customWidth="1"/>
    <col min="45" max="45" width="12" hidden="1" customWidth="1"/>
    <col min="46" max="46" width="11.33203125" hidden="1" customWidth="1"/>
    <col min="47" max="47" width="0" hidden="1" customWidth="1"/>
  </cols>
  <sheetData>
    <row r="1" spans="1:46" ht="115.8" thickBot="1" x14ac:dyDescent="0.35">
      <c r="D1" s="1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190</v>
      </c>
      <c r="J1" s="2" t="s">
        <v>5</v>
      </c>
      <c r="K1" s="77" t="s">
        <v>186</v>
      </c>
      <c r="L1" s="2" t="s">
        <v>187</v>
      </c>
      <c r="M1" s="2" t="s">
        <v>6</v>
      </c>
      <c r="N1" s="2" t="s">
        <v>7</v>
      </c>
      <c r="O1" s="2" t="s">
        <v>8</v>
      </c>
      <c r="P1" s="2" t="s">
        <v>9</v>
      </c>
      <c r="Q1" s="75" t="s">
        <v>185</v>
      </c>
      <c r="R1" s="2" t="s">
        <v>10</v>
      </c>
      <c r="S1" s="2" t="s">
        <v>11</v>
      </c>
      <c r="T1" s="3" t="s">
        <v>13</v>
      </c>
      <c r="U1" s="3" t="s">
        <v>14</v>
      </c>
      <c r="V1" s="3" t="s">
        <v>15</v>
      </c>
      <c r="W1" s="4" t="s">
        <v>16</v>
      </c>
      <c r="X1" s="3" t="s">
        <v>17</v>
      </c>
      <c r="Y1" s="5" t="s">
        <v>18</v>
      </c>
      <c r="Z1" s="6" t="s">
        <v>19</v>
      </c>
      <c r="AA1" s="7" t="s">
        <v>20</v>
      </c>
      <c r="AE1" s="8" t="s">
        <v>21</v>
      </c>
      <c r="AF1" s="8" t="s">
        <v>12</v>
      </c>
      <c r="AG1" s="8" t="s">
        <v>12</v>
      </c>
      <c r="AH1" s="8" t="s">
        <v>12</v>
      </c>
      <c r="AI1" s="8" t="s">
        <v>14</v>
      </c>
      <c r="AJ1" s="8" t="s">
        <v>22</v>
      </c>
      <c r="AK1" s="8" t="s">
        <v>22</v>
      </c>
      <c r="AL1" s="8" t="s">
        <v>22</v>
      </c>
      <c r="AM1" s="8" t="s">
        <v>22</v>
      </c>
      <c r="AN1" s="8"/>
      <c r="AO1" s="8" t="s">
        <v>23</v>
      </c>
      <c r="AQ1" s="9" t="str">
        <f>IF(B15="y","Base  +  Pop    +%NP Land Tiers","Base + %NP Land")</f>
        <v>Base + %NP Land</v>
      </c>
      <c r="AR1" t="s">
        <v>24</v>
      </c>
      <c r="AS1" t="s">
        <v>25</v>
      </c>
    </row>
    <row r="2" spans="1:46" ht="40.5" customHeight="1" thickBot="1" x14ac:dyDescent="0.35">
      <c r="D2" s="10"/>
      <c r="E2" s="11"/>
      <c r="F2" s="11"/>
      <c r="G2" s="11"/>
      <c r="H2" s="11"/>
      <c r="I2" s="11"/>
      <c r="J2" s="12"/>
      <c r="K2" s="11"/>
      <c r="L2" s="11"/>
      <c r="M2" s="11"/>
      <c r="N2" s="11"/>
      <c r="O2" s="11"/>
      <c r="P2" s="11"/>
      <c r="Q2" s="11"/>
      <c r="R2" s="11"/>
      <c r="S2" s="11"/>
      <c r="T2" s="13"/>
      <c r="U2" s="13"/>
      <c r="V2" s="14"/>
      <c r="W2" s="15"/>
      <c r="X2" s="16"/>
      <c r="Y2" s="17"/>
      <c r="Z2" s="17"/>
      <c r="AA2" s="18"/>
      <c r="AE2" s="19" t="s">
        <v>26</v>
      </c>
      <c r="AF2" s="20" t="s">
        <v>27</v>
      </c>
      <c r="AG2" s="20" t="s">
        <v>28</v>
      </c>
      <c r="AH2" s="20" t="s">
        <v>29</v>
      </c>
      <c r="AJ2" s="19" t="s">
        <v>30</v>
      </c>
      <c r="AK2" s="19" t="s">
        <v>31</v>
      </c>
      <c r="AL2" s="19" t="s">
        <v>32</v>
      </c>
      <c r="AM2" s="19" t="s">
        <v>33</v>
      </c>
      <c r="AN2" s="19"/>
      <c r="AQ2">
        <v>2</v>
      </c>
      <c r="AR2" s="21">
        <f>MAX(AP4:AP93)</f>
        <v>373473.59517715033</v>
      </c>
      <c r="AS2" s="21">
        <f>MIN(AP4:AP93)</f>
        <v>197375.65479937778</v>
      </c>
    </row>
    <row r="3" spans="1:46" ht="30.6" x14ac:dyDescent="0.45">
      <c r="A3" s="22" t="s">
        <v>34</v>
      </c>
      <c r="B3" s="23">
        <v>15000000</v>
      </c>
      <c r="D3" s="24"/>
      <c r="E3" s="25"/>
      <c r="F3" s="25"/>
      <c r="G3" s="25"/>
      <c r="H3" s="25"/>
      <c r="I3" s="25"/>
      <c r="J3" s="26"/>
      <c r="K3" s="25"/>
      <c r="L3" s="25"/>
      <c r="M3" s="25"/>
      <c r="N3" s="25"/>
      <c r="O3" s="25"/>
      <c r="P3" s="25"/>
      <c r="Q3" s="25"/>
      <c r="R3" s="25"/>
      <c r="S3" s="25"/>
      <c r="T3" s="29" t="str">
        <f>IF(AND($A$10&gt;0,$B$15="n",$A$13&gt;0),"Active Column","Inactive Column")</f>
        <v>Active Column</v>
      </c>
      <c r="U3" s="27" t="str">
        <f>IF(AND($A$10&gt;0,$B$15="n",$A$13&gt;0),"Active Column","Inactive Column")</f>
        <v>Active Column</v>
      </c>
      <c r="V3" s="28" t="str">
        <f>IF(A10=0,"Active Column","Inactive Column")</f>
        <v>Inactive Column</v>
      </c>
      <c r="W3" s="28">
        <f>B16</f>
        <v>300000</v>
      </c>
      <c r="X3" s="28">
        <f>$B$17</f>
        <v>200000</v>
      </c>
      <c r="Y3" s="28"/>
      <c r="Z3" s="28"/>
      <c r="AA3" s="18"/>
      <c r="AE3" s="30" t="str">
        <f>IF(B15="n",CONCATENATE(($A$8*100),"%","base","-",($A$13*100),"%","NP Lands"),"")</f>
        <v>80%base-10%NP Lands</v>
      </c>
      <c r="AF3" s="31" t="s">
        <v>35</v>
      </c>
      <c r="AG3" s="19" t="s">
        <v>36</v>
      </c>
      <c r="AH3" s="19" t="s">
        <v>37</v>
      </c>
      <c r="AO3" t="s">
        <v>23</v>
      </c>
      <c r="AP3" t="s">
        <v>38</v>
      </c>
      <c r="AQ3" s="9" t="str">
        <f>IF(B15="n",AE3,"")</f>
        <v>80%base-10%NP Lands</v>
      </c>
    </row>
    <row r="4" spans="1:46" x14ac:dyDescent="0.3">
      <c r="D4" s="32" t="s">
        <v>39</v>
      </c>
      <c r="E4" s="33">
        <v>1275846.1969000001</v>
      </c>
      <c r="F4" s="33">
        <v>14900.742986400001</v>
      </c>
      <c r="G4" s="33">
        <v>617899.58440199995</v>
      </c>
      <c r="H4" s="33">
        <v>643045.86950699997</v>
      </c>
      <c r="I4" s="33">
        <v>3047.2106657099998</v>
      </c>
      <c r="J4" s="34">
        <v>5915.92001256</v>
      </c>
      <c r="K4" s="35">
        <f>E4-F4-G4-I4-J4</f>
        <v>634082.73883333022</v>
      </c>
      <c r="L4" s="36">
        <f>K4/K$94</f>
        <v>1.5682130745527101E-2</v>
      </c>
      <c r="M4" s="37">
        <v>15697</v>
      </c>
      <c r="N4" s="38">
        <f>$M4/$M$94</f>
        <v>2.7507257520992751E-3</v>
      </c>
      <c r="O4" s="38">
        <f>M4^(1/3)</f>
        <v>25.038341168132646</v>
      </c>
      <c r="P4" s="38">
        <f>$O4/$O$94</f>
        <v>8.7193654938332536E-3</v>
      </c>
      <c r="Q4" s="76">
        <v>116976.90902799999</v>
      </c>
      <c r="R4" s="33">
        <v>1610.5820546299999</v>
      </c>
      <c r="S4" s="39">
        <f>$R4/$R$94</f>
        <v>1.7690565293200605E-2</v>
      </c>
      <c r="T4" s="40">
        <f>($L4*$C$13)+($P4*$C$10)+$B$34</f>
        <v>169935.57769237389</v>
      </c>
      <c r="U4" s="28">
        <f>+($L4*$C$13)+($N4*$C$10)+$B$34</f>
        <v>160982.61807977292</v>
      </c>
      <c r="V4" s="28" t="e">
        <f>(#REF!*$C$13)+$B$34</f>
        <v>#REF!</v>
      </c>
      <c r="W4" s="28" t="e">
        <f>+IF(V4&gt;$W$3,ABS($W$3-V4),0)</f>
        <v>#REF!</v>
      </c>
      <c r="X4" s="28" t="e">
        <f>IF($X$3&gt;V4,(V4-$X$3)*-1,0)</f>
        <v>#REF!</v>
      </c>
      <c r="Y4" s="28" t="e">
        <f>IF($V4&lt;=$W$3,$V4,$W$3)</f>
        <v>#REF!</v>
      </c>
      <c r="Z4" s="28" t="e">
        <f>$Y4+$Y$101+X4</f>
        <v>#REF!</v>
      </c>
      <c r="AA4" s="16" t="e">
        <f t="shared" ref="AA4:AA67" si="0">Z4-Y4</f>
        <v>#REF!</v>
      </c>
      <c r="AE4" s="41" t="e" cm="1">
        <f t="array" ref="AE4">_xlfn.IFS($V4&gt;$W$3,($W$3+$Y$101),$V4&lt;$X$3,($V4+$X4+$Y$101), $V4&lt;$W$3,$V4+$Y$101,$V4&gt;$X$3,$V4+$Y$101)</f>
        <v>#REF!</v>
      </c>
      <c r="AF4" s="41">
        <v>247666.73336432516</v>
      </c>
      <c r="AG4" s="41">
        <v>244925.5795661243</v>
      </c>
      <c r="AH4" s="41">
        <v>247521.67854164011</v>
      </c>
      <c r="AI4" s="41">
        <v>217154.2720736326</v>
      </c>
      <c r="AJ4" s="41">
        <v>272497.28400934604</v>
      </c>
      <c r="AK4" s="41">
        <v>263146.33748771215</v>
      </c>
      <c r="AL4" s="41">
        <v>253795.3909660783</v>
      </c>
      <c r="AM4" s="41">
        <v>249119.91770526138</v>
      </c>
      <c r="AN4" s="41"/>
      <c r="AO4" s="32" t="s">
        <v>39</v>
      </c>
      <c r="AP4" s="41">
        <f>CHOOSE($AQ$2,$AE4,$AF4,$AG4,$AH4,$AI4,$AJ4,$AK4,$AL4,$AM4)</f>
        <v>247666.73336432516</v>
      </c>
      <c r="AR4" s="41"/>
    </row>
    <row r="5" spans="1:46" ht="15" thickBot="1" x14ac:dyDescent="0.35">
      <c r="D5" s="42" t="s">
        <v>40</v>
      </c>
      <c r="E5" s="43">
        <v>285142.93679800001</v>
      </c>
      <c r="F5" s="43">
        <v>19.9087924233</v>
      </c>
      <c r="G5" s="43">
        <v>24082.947888399998</v>
      </c>
      <c r="H5" s="43">
        <v>261040.08011800001</v>
      </c>
      <c r="I5" s="43">
        <v>0</v>
      </c>
      <c r="J5" s="44">
        <v>23283.248014000001</v>
      </c>
      <c r="K5" s="35">
        <f t="shared" ref="K5:K68" si="1">E5-F5-G5-I5-J5</f>
        <v>237756.83210317668</v>
      </c>
      <c r="L5" s="36">
        <f t="shared" ref="L5:L68" si="2">K5/K$94</f>
        <v>5.8802006399742163E-3</v>
      </c>
      <c r="M5" s="45">
        <v>363887</v>
      </c>
      <c r="N5" s="38">
        <f t="shared" ref="N5:N68" si="3">$M5/$M$94</f>
        <v>6.3767174731104603E-2</v>
      </c>
      <c r="O5" s="38">
        <f t="shared" ref="O5:O68" si="4">M5^(1/3)</f>
        <v>71.392980554715464</v>
      </c>
      <c r="P5" s="38">
        <f t="shared" ref="P5:P68" si="5">$O5/$O$94</f>
        <v>2.4861930228148598E-2</v>
      </c>
      <c r="Q5" s="76">
        <v>28160.405908500001</v>
      </c>
      <c r="R5" s="43">
        <v>1158.8321104700001</v>
      </c>
      <c r="S5" s="39">
        <f t="shared" ref="S5:S68" si="6">$R5/$R$94</f>
        <v>1.2728562978330565E-2</v>
      </c>
      <c r="T5" s="40">
        <f t="shared" ref="T5:T68" si="7">($L5*$C$13)+($P5*$C$10)+$B$34</f>
        <v>179446.52963551757</v>
      </c>
      <c r="U5" s="28">
        <f t="shared" ref="U5:U68" si="8">+($L5*$C$13)+($N5*$C$10)+$B$34</f>
        <v>237804.39638995158</v>
      </c>
      <c r="V5" s="28" t="e">
        <f>(#REF!*$C$13)+$B$34</f>
        <v>#REF!</v>
      </c>
      <c r="W5" s="28" t="e">
        <f t="shared" ref="W5:W68" si="9">+IF(V5&gt;$W$3,ABS($W$3-V5),0)</f>
        <v>#REF!</v>
      </c>
      <c r="X5" s="28" t="e">
        <f t="shared" ref="X5:X68" si="10">IF($X$3&gt;V5,(V5-$X$3)*-1,0)</f>
        <v>#REF!</v>
      </c>
      <c r="Y5" s="28" t="e">
        <f t="shared" ref="Y5:Y68" si="11">IF($V5&lt;=$W$3,$V5,$W$3)</f>
        <v>#REF!</v>
      </c>
      <c r="Z5" s="28" t="e">
        <f t="shared" ref="Z5:Z68" si="12">$Y5+$Y$101+X5</f>
        <v>#REF!</v>
      </c>
      <c r="AA5" s="16" t="e">
        <f t="shared" si="0"/>
        <v>#REF!</v>
      </c>
      <c r="AE5" s="41" t="e" cm="1">
        <f t="array" ref="AE5">_xlfn.IFS($V5&gt;$W$3,($W$3+$Y$101),$V5&lt;$X$3,($V5+$X5+$Y$101), $V5&lt;$W$3,$V5+$Y$101,$V5&gt;$X$3,$V5+$Y$101)</f>
        <v>#REF!</v>
      </c>
      <c r="AF5" s="41">
        <v>259865.230454009</v>
      </c>
      <c r="AG5" s="41">
        <v>273869.57777867233</v>
      </c>
      <c r="AH5" s="41">
        <v>289735.47820882045</v>
      </c>
      <c r="AI5" s="41">
        <v>467902.79054162093</v>
      </c>
      <c r="AJ5" s="41">
        <v>212650.23666494447</v>
      </c>
      <c r="AK5" s="41">
        <v>223248.30592477781</v>
      </c>
      <c r="AL5" s="41">
        <v>233846.37518461113</v>
      </c>
      <c r="AM5" s="41">
        <v>239145.40981452778</v>
      </c>
      <c r="AN5" s="41"/>
      <c r="AO5" s="42" t="s">
        <v>40</v>
      </c>
      <c r="AP5" s="41">
        <f t="shared" ref="AP5:AP68" si="13">CHOOSE($AQ$2,$AE5,$AF5,$AG5,$AH5,$AI5,$AJ5,$AK5,$AL5,$AM5)</f>
        <v>259865.230454009</v>
      </c>
      <c r="AR5" s="41"/>
      <c r="AT5" t="s">
        <v>26</v>
      </c>
    </row>
    <row r="6" spans="1:46" x14ac:dyDescent="0.3">
      <c r="A6" s="46" t="s">
        <v>41</v>
      </c>
      <c r="B6" s="47"/>
      <c r="C6" s="48"/>
      <c r="D6" s="32" t="s">
        <v>42</v>
      </c>
      <c r="E6" s="33">
        <v>925092.26608800003</v>
      </c>
      <c r="F6" s="33">
        <v>54141.394566499999</v>
      </c>
      <c r="G6" s="33">
        <v>131696.799772</v>
      </c>
      <c r="H6" s="33">
        <v>739254.07175</v>
      </c>
      <c r="I6" s="33">
        <v>15510.211058700001</v>
      </c>
      <c r="J6" s="34">
        <v>3602.4524070699999</v>
      </c>
      <c r="K6" s="35">
        <f t="shared" si="1"/>
        <v>720141.40828373004</v>
      </c>
      <c r="L6" s="36">
        <f t="shared" si="2"/>
        <v>1.7810533276386736E-2</v>
      </c>
      <c r="M6" s="37">
        <v>35183</v>
      </c>
      <c r="N6" s="38">
        <f t="shared" si="3"/>
        <v>6.1654318746326552E-3</v>
      </c>
      <c r="O6" s="38">
        <f t="shared" si="4"/>
        <v>32.767574042028357</v>
      </c>
      <c r="P6" s="38">
        <f t="shared" si="5"/>
        <v>1.1410997737435043E-2</v>
      </c>
      <c r="Q6" s="76">
        <v>93713.868180699996</v>
      </c>
      <c r="R6" s="33">
        <v>2598.3320394399998</v>
      </c>
      <c r="S6" s="39">
        <f t="shared" si="6"/>
        <v>2.8539969425952778E-2</v>
      </c>
      <c r="T6" s="40">
        <f t="shared" si="7"/>
        <v>177165.62985406601</v>
      </c>
      <c r="U6" s="28">
        <f t="shared" si="8"/>
        <v>169297.28105986243</v>
      </c>
      <c r="V6" s="28" t="e">
        <f>(#REF!*$C$13)+$B$34</f>
        <v>#REF!</v>
      </c>
      <c r="W6" s="28" t="e">
        <f t="shared" si="9"/>
        <v>#REF!</v>
      </c>
      <c r="X6" s="28" t="e">
        <f t="shared" si="10"/>
        <v>#REF!</v>
      </c>
      <c r="Y6" s="28" t="e">
        <f t="shared" si="11"/>
        <v>#REF!</v>
      </c>
      <c r="Z6" s="28" t="e">
        <f t="shared" si="12"/>
        <v>#REF!</v>
      </c>
      <c r="AA6" s="16" t="e">
        <f t="shared" si="0"/>
        <v>#REF!</v>
      </c>
      <c r="AE6" s="41" t="e" cm="1">
        <f t="array" ref="AE6">_xlfn.IFS($V6&gt;$W$3,($W$3+$Y$101),$V6&lt;$X$3,($V6+$X6+$Y$101), $V6&lt;$W$3,$V6+$Y$101,$V6&gt;$X$3,$V6+$Y$101)</f>
        <v>#REF!</v>
      </c>
      <c r="AF6" s="41">
        <v>258118.53633986009</v>
      </c>
      <c r="AG6" s="41">
        <v>261504.26472894312</v>
      </c>
      <c r="AH6" s="41">
        <v>264165.936484429</v>
      </c>
      <c r="AI6" s="41">
        <v>237283.79851080777</v>
      </c>
      <c r="AJ6" s="41">
        <v>288174.98847264837</v>
      </c>
      <c r="AK6" s="41">
        <v>273598.14046324708</v>
      </c>
      <c r="AL6" s="41">
        <v>259021.29245384576</v>
      </c>
      <c r="AM6" s="41">
        <v>251732.86844914511</v>
      </c>
      <c r="AN6" s="41"/>
      <c r="AO6" s="32" t="s">
        <v>42</v>
      </c>
      <c r="AP6" s="41">
        <f t="shared" si="13"/>
        <v>258118.53633986009</v>
      </c>
      <c r="AR6" s="41"/>
      <c r="AT6" t="s">
        <v>27</v>
      </c>
    </row>
    <row r="7" spans="1:46" x14ac:dyDescent="0.3">
      <c r="A7" s="49"/>
      <c r="B7" s="18"/>
      <c r="C7" s="50"/>
      <c r="D7" s="42" t="s">
        <v>43</v>
      </c>
      <c r="E7" s="43">
        <v>1955221.72505</v>
      </c>
      <c r="F7" s="43">
        <v>96637.415708700006</v>
      </c>
      <c r="G7" s="43">
        <v>707962.37567500002</v>
      </c>
      <c r="H7" s="43">
        <v>1150621.9336600001</v>
      </c>
      <c r="I7" s="43">
        <v>528323.34209199995</v>
      </c>
      <c r="J7" s="44">
        <v>10126.087049600001</v>
      </c>
      <c r="K7" s="35">
        <f t="shared" si="1"/>
        <v>612172.50452470011</v>
      </c>
      <c r="L7" s="36">
        <f t="shared" si="2"/>
        <v>1.5140246953318422E-2</v>
      </c>
      <c r="M7" s="45">
        <v>46228</v>
      </c>
      <c r="N7" s="38">
        <f t="shared" si="3"/>
        <v>8.1009460449796324E-3</v>
      </c>
      <c r="O7" s="38">
        <f t="shared" si="4"/>
        <v>35.889579355117206</v>
      </c>
      <c r="P7" s="38">
        <f t="shared" si="5"/>
        <v>1.2498206559126371E-2</v>
      </c>
      <c r="Q7" s="76">
        <v>128478.604406</v>
      </c>
      <c r="R7" s="43">
        <v>2435.11723385</v>
      </c>
      <c r="S7" s="39">
        <f t="shared" si="6"/>
        <v>2.674722489188416E-2</v>
      </c>
      <c r="T7" s="40">
        <f t="shared" si="7"/>
        <v>174791.01360200054</v>
      </c>
      <c r="U7" s="28">
        <f t="shared" si="8"/>
        <v>168195.12283078043</v>
      </c>
      <c r="V7" s="28" t="e">
        <f>(#REF!*$C$13)+$B$34</f>
        <v>#REF!</v>
      </c>
      <c r="W7" s="28" t="e">
        <f t="shared" si="9"/>
        <v>#REF!</v>
      </c>
      <c r="X7" s="28" t="e">
        <f t="shared" si="10"/>
        <v>#REF!</v>
      </c>
      <c r="Y7" s="28" t="e">
        <f t="shared" si="11"/>
        <v>#REF!</v>
      </c>
      <c r="Z7" s="28" t="e">
        <f t="shared" si="12"/>
        <v>#REF!</v>
      </c>
      <c r="AA7" s="16" t="e">
        <f t="shared" si="0"/>
        <v>#REF!</v>
      </c>
      <c r="AE7" s="41" t="e" cm="1">
        <f t="array" ref="AE7">_xlfn.IFS($V7&gt;$W$3,($W$3+$Y$101),$V7&lt;$X$3,($V7+$X7+$Y$101), $V7&lt;$W$3,$V7+$Y$101,$V7&gt;$X$3,$V7+$Y$101)</f>
        <v>#REF!</v>
      </c>
      <c r="AF7" s="41">
        <v>353163.50573632191</v>
      </c>
      <c r="AG7" s="41">
        <v>367167.85306098528</v>
      </c>
      <c r="AH7" s="41">
        <v>307114.37722827261</v>
      </c>
      <c r="AI7" s="41">
        <v>267362.3721860784</v>
      </c>
      <c r="AJ7" s="41">
        <v>352597.64958841389</v>
      </c>
      <c r="AK7" s="41">
        <v>316546.58120709076</v>
      </c>
      <c r="AL7" s="41">
        <v>280495.51282576763</v>
      </c>
      <c r="AM7" s="41">
        <v>262469.978635106</v>
      </c>
      <c r="AN7" s="41"/>
      <c r="AO7" s="42" t="s">
        <v>43</v>
      </c>
      <c r="AP7" s="41">
        <f t="shared" si="13"/>
        <v>353163.50573632191</v>
      </c>
      <c r="AR7" s="41"/>
      <c r="AT7" t="s">
        <v>28</v>
      </c>
    </row>
    <row r="8" spans="1:46" x14ac:dyDescent="0.3">
      <c r="A8" s="51">
        <v>0.8</v>
      </c>
      <c r="B8" s="18" t="s">
        <v>44</v>
      </c>
      <c r="C8" s="52">
        <f>A8*$B$3</f>
        <v>12000000</v>
      </c>
      <c r="D8" s="32" t="s">
        <v>45</v>
      </c>
      <c r="E8" s="33">
        <v>264244.67512999999</v>
      </c>
      <c r="F8" s="33">
        <v>0</v>
      </c>
      <c r="G8" s="33">
        <v>2785.7400635600002</v>
      </c>
      <c r="H8" s="33">
        <v>261458.93506600001</v>
      </c>
      <c r="I8" s="33">
        <v>0</v>
      </c>
      <c r="J8" s="34">
        <v>2395.8139403599998</v>
      </c>
      <c r="K8" s="35">
        <f t="shared" si="1"/>
        <v>259063.12112607999</v>
      </c>
      <c r="L8" s="36">
        <f t="shared" si="2"/>
        <v>6.407147660758809E-3</v>
      </c>
      <c r="M8" s="37">
        <v>41379</v>
      </c>
      <c r="N8" s="38">
        <f t="shared" si="3"/>
        <v>7.251212390655278E-3</v>
      </c>
      <c r="O8" s="38">
        <f t="shared" si="4"/>
        <v>34.58809663265523</v>
      </c>
      <c r="P8" s="38">
        <f t="shared" si="5"/>
        <v>1.2044977510730054E-2</v>
      </c>
      <c r="Q8" s="76">
        <v>1946.8359649199999</v>
      </c>
      <c r="R8" s="33">
        <v>285.952031487</v>
      </c>
      <c r="S8" s="39">
        <f t="shared" si="6"/>
        <v>3.140885041654246E-3</v>
      </c>
      <c r="T8" s="40">
        <f t="shared" si="7"/>
        <v>161011.52109056665</v>
      </c>
      <c r="U8" s="28">
        <f t="shared" si="8"/>
        <v>153820.87341045449</v>
      </c>
      <c r="V8" s="28" t="e">
        <f>(#REF!*$C$13)+$B$34</f>
        <v>#REF!</v>
      </c>
      <c r="W8" s="28" t="e">
        <f t="shared" si="9"/>
        <v>#REF!</v>
      </c>
      <c r="X8" s="28" t="e">
        <f t="shared" si="10"/>
        <v>#REF!</v>
      </c>
      <c r="Y8" s="28" t="e">
        <f t="shared" si="11"/>
        <v>#REF!</v>
      </c>
      <c r="Z8" s="28" t="e">
        <f t="shared" si="12"/>
        <v>#REF!</v>
      </c>
      <c r="AA8" s="16" t="e">
        <f t="shared" si="0"/>
        <v>#REF!</v>
      </c>
      <c r="AE8" s="41" t="e" cm="1">
        <f t="array" ref="AE8">_xlfn.IFS($V8&gt;$W$3,($W$3+$Y$101),$V8&lt;$X$3,($V8+$X8+$Y$101), $V8&lt;$W$3,$V8+$Y$101,$V8&gt;$X$3,$V8+$Y$101)</f>
        <v>#REF!</v>
      </c>
      <c r="AF8" s="41">
        <v>259655.53741157643</v>
      </c>
      <c r="AG8" s="41">
        <v>210944.73714804125</v>
      </c>
      <c r="AH8" s="41">
        <v>213606.40890352713</v>
      </c>
      <c r="AI8" s="41">
        <v>216814.63991817931</v>
      </c>
      <c r="AJ8" s="41">
        <v>212335.69710129563</v>
      </c>
      <c r="AK8" s="41">
        <v>223038.61288234525</v>
      </c>
      <c r="AL8" s="41">
        <v>233741.52866339486</v>
      </c>
      <c r="AM8" s="41">
        <v>239092.98655391965</v>
      </c>
      <c r="AN8" s="41"/>
      <c r="AO8" s="32" t="s">
        <v>45</v>
      </c>
      <c r="AP8" s="41">
        <f t="shared" si="13"/>
        <v>259655.53741157643</v>
      </c>
      <c r="AR8" s="41"/>
      <c r="AT8" t="s">
        <v>29</v>
      </c>
    </row>
    <row r="9" spans="1:46" x14ac:dyDescent="0.3">
      <c r="A9" s="51">
        <v>0</v>
      </c>
      <c r="B9" s="18" t="s">
        <v>46</v>
      </c>
      <c r="C9" s="52">
        <f t="shared" ref="C9:C13" si="14">A9*$B$3</f>
        <v>0</v>
      </c>
      <c r="D9" s="42" t="s">
        <v>47</v>
      </c>
      <c r="E9" s="43">
        <v>338317.47610999999</v>
      </c>
      <c r="F9" s="43">
        <v>13591.435398199999</v>
      </c>
      <c r="G9" s="43">
        <v>9738.8890393000001</v>
      </c>
      <c r="H9" s="43">
        <v>314987.15167300001</v>
      </c>
      <c r="I9" s="43">
        <v>0</v>
      </c>
      <c r="J9" s="44">
        <v>2430.9421023499999</v>
      </c>
      <c r="K9" s="35">
        <f t="shared" si="1"/>
        <v>312556.20957015001</v>
      </c>
      <c r="L9" s="36">
        <f t="shared" si="2"/>
        <v>7.7301384245595153E-3</v>
      </c>
      <c r="M9" s="45">
        <v>5166</v>
      </c>
      <c r="N9" s="38">
        <f t="shared" si="3"/>
        <v>9.0528440054436223E-4</v>
      </c>
      <c r="O9" s="38">
        <f t="shared" si="4"/>
        <v>17.286940370520018</v>
      </c>
      <c r="P9" s="38">
        <f t="shared" si="5"/>
        <v>6.020013480465998E-3</v>
      </c>
      <c r="Q9" s="76">
        <v>26536.389168400001</v>
      </c>
      <c r="R9" s="43">
        <v>820.50596100600001</v>
      </c>
      <c r="S9" s="39">
        <f t="shared" si="6"/>
        <v>9.0124028359247679E-3</v>
      </c>
      <c r="T9" s="40">
        <f t="shared" si="7"/>
        <v>153958.56119087161</v>
      </c>
      <c r="U9" s="28">
        <f t="shared" si="8"/>
        <v>146286.46757098916</v>
      </c>
      <c r="V9" s="28" t="e">
        <f>(#REF!*$C$13)+$B$34</f>
        <v>#REF!</v>
      </c>
      <c r="W9" s="28" t="e">
        <f t="shared" si="9"/>
        <v>#REF!</v>
      </c>
      <c r="X9" s="28" t="e">
        <f t="shared" si="10"/>
        <v>#REF!</v>
      </c>
      <c r="Y9" s="28" t="e">
        <f t="shared" si="11"/>
        <v>#REF!</v>
      </c>
      <c r="Z9" s="28" t="e">
        <f t="shared" si="12"/>
        <v>#REF!</v>
      </c>
      <c r="AA9" s="16" t="e">
        <f t="shared" si="0"/>
        <v>#REF!</v>
      </c>
      <c r="AE9" s="41" t="e" cm="1">
        <f t="array" ref="AE9">_xlfn.IFS($V9&gt;$W$3,($W$3+$Y$101),$V9&lt;$X$3,($V9+$X9+$Y$101), $V9&lt;$W$3,$V9+$Y$101,$V9&gt;$X$3,$V9+$Y$101)</f>
        <v>#REF!</v>
      </c>
      <c r="AF9" s="41">
        <v>207576.17823370581</v>
      </c>
      <c r="AG9" s="41">
        <v>207088.83289129107</v>
      </c>
      <c r="AH9" s="41">
        <v>206767.96058372335</v>
      </c>
      <c r="AI9" s="41">
        <v>191656.51915035138</v>
      </c>
      <c r="AJ9" s="41">
        <v>220848.02573710281</v>
      </c>
      <c r="AK9" s="41">
        <v>228713.49863955003</v>
      </c>
      <c r="AL9" s="41">
        <v>236578.97154199725</v>
      </c>
      <c r="AM9" s="41">
        <v>240511.70799322083</v>
      </c>
      <c r="AN9" s="41"/>
      <c r="AO9" s="42" t="s">
        <v>47</v>
      </c>
      <c r="AP9" s="41">
        <f t="shared" si="13"/>
        <v>207576.17823370581</v>
      </c>
      <c r="AR9" s="41"/>
      <c r="AT9" t="s">
        <v>48</v>
      </c>
    </row>
    <row r="10" spans="1:46" x14ac:dyDescent="0.3">
      <c r="A10" s="51">
        <v>0.1</v>
      </c>
      <c r="B10" s="18" t="s">
        <v>6</v>
      </c>
      <c r="C10" s="52">
        <f t="shared" si="14"/>
        <v>1500000</v>
      </c>
      <c r="D10" s="32" t="s">
        <v>49</v>
      </c>
      <c r="E10" s="33">
        <v>489754.22964600002</v>
      </c>
      <c r="F10" s="33">
        <v>3182.2328763999999</v>
      </c>
      <c r="G10" s="33">
        <v>6009.3157033099997</v>
      </c>
      <c r="H10" s="33">
        <v>480562.68106600002</v>
      </c>
      <c r="I10" s="33">
        <v>0</v>
      </c>
      <c r="J10" s="34">
        <v>5013.5805275499997</v>
      </c>
      <c r="K10" s="35">
        <f t="shared" si="1"/>
        <v>475549.10053873999</v>
      </c>
      <c r="L10" s="36">
        <f t="shared" si="2"/>
        <v>1.176127769112255E-2</v>
      </c>
      <c r="M10" s="37">
        <v>69112</v>
      </c>
      <c r="N10" s="38">
        <f t="shared" si="3"/>
        <v>1.2111114109644206E-2</v>
      </c>
      <c r="O10" s="38">
        <f t="shared" si="4"/>
        <v>41.037839348090529</v>
      </c>
      <c r="P10" s="38">
        <f t="shared" si="5"/>
        <v>1.4291039408338709E-2</v>
      </c>
      <c r="Q10" s="76">
        <v>11227.7854376</v>
      </c>
      <c r="R10" s="33">
        <v>744.95819462999998</v>
      </c>
      <c r="S10" s="39">
        <f t="shared" si="6"/>
        <v>8.1825893594936507E-3</v>
      </c>
      <c r="T10" s="40">
        <f t="shared" si="7"/>
        <v>172411.80898252522</v>
      </c>
      <c r="U10" s="28">
        <f t="shared" si="8"/>
        <v>169141.92103448347</v>
      </c>
      <c r="V10" s="28" t="e">
        <f>(#REF!*$C$13)+$B$34</f>
        <v>#REF!</v>
      </c>
      <c r="W10" s="28" t="e">
        <f t="shared" si="9"/>
        <v>#REF!</v>
      </c>
      <c r="X10" s="28" t="e">
        <f t="shared" si="10"/>
        <v>#REF!</v>
      </c>
      <c r="Y10" s="28" t="e">
        <f t="shared" si="11"/>
        <v>#REF!</v>
      </c>
      <c r="Z10" s="28" t="e">
        <f t="shared" si="12"/>
        <v>#REF!</v>
      </c>
      <c r="AA10" s="16" t="e">
        <f t="shared" si="0"/>
        <v>#REF!</v>
      </c>
      <c r="AE10" s="41" t="e" cm="1">
        <f t="array" ref="AE10">_xlfn.IFS($V10&gt;$W$3,($W$3+$Y$101),$V10&lt;$X$3,($V10+$X10+$Y$101), $V10&lt;$W$3,$V10+$Y$101,$V10&gt;$X$3,$V10+$Y$101)</f>
        <v>#REF!</v>
      </c>
      <c r="AF10" s="41">
        <v>282621.74177436868</v>
      </c>
      <c r="AG10" s="41">
        <v>296626.08909903199</v>
      </c>
      <c r="AH10" s="41">
        <v>312491.98952918011</v>
      </c>
      <c r="AI10" s="41">
        <v>249745.79453685414</v>
      </c>
      <c r="AJ10" s="41">
        <v>246785.00364548399</v>
      </c>
      <c r="AK10" s="41">
        <v>246004.81724513747</v>
      </c>
      <c r="AL10" s="41">
        <v>245224.63084479095</v>
      </c>
      <c r="AM10" s="41">
        <v>244834.5376446177</v>
      </c>
      <c r="AN10" s="41"/>
      <c r="AO10" s="32" t="s">
        <v>49</v>
      </c>
      <c r="AP10" s="41">
        <f t="shared" si="13"/>
        <v>282621.74177436868</v>
      </c>
      <c r="AR10" s="41"/>
      <c r="AT10" t="s">
        <v>30</v>
      </c>
    </row>
    <row r="11" spans="1:46" x14ac:dyDescent="0.3">
      <c r="A11" s="51">
        <v>0</v>
      </c>
      <c r="B11" s="18" t="s">
        <v>50</v>
      </c>
      <c r="C11" s="52">
        <f t="shared" si="14"/>
        <v>0</v>
      </c>
      <c r="D11" s="42" t="s">
        <v>51</v>
      </c>
      <c r="E11" s="43">
        <v>395605.57059600001</v>
      </c>
      <c r="F11" s="43">
        <v>1.2424611433799999</v>
      </c>
      <c r="G11" s="43">
        <v>5694.84058929</v>
      </c>
      <c r="H11" s="43">
        <v>389909.48754599999</v>
      </c>
      <c r="I11" s="43">
        <v>0</v>
      </c>
      <c r="J11" s="44">
        <v>3301.1598000700001</v>
      </c>
      <c r="K11" s="35">
        <f t="shared" si="1"/>
        <v>386608.32774549664</v>
      </c>
      <c r="L11" s="36">
        <f t="shared" si="2"/>
        <v>9.561594996529468E-3</v>
      </c>
      <c r="M11" s="45">
        <v>25912</v>
      </c>
      <c r="N11" s="38">
        <f t="shared" si="3"/>
        <v>4.5407915963812454E-3</v>
      </c>
      <c r="O11" s="38">
        <f t="shared" si="4"/>
        <v>29.591499872405933</v>
      </c>
      <c r="P11" s="38">
        <f t="shared" si="5"/>
        <v>1.0304959947850668E-2</v>
      </c>
      <c r="Q11" s="76">
        <v>5342.5039697299999</v>
      </c>
      <c r="R11" s="43">
        <v>469.063798228</v>
      </c>
      <c r="S11" s="39">
        <f t="shared" si="6"/>
        <v>5.1521769570041639E-3</v>
      </c>
      <c r="T11" s="40">
        <f t="shared" si="7"/>
        <v>163133.16574990354</v>
      </c>
      <c r="U11" s="28">
        <f t="shared" si="8"/>
        <v>154486.91322269943</v>
      </c>
      <c r="V11" s="28" t="e">
        <f>(#REF!*$C$13)+$B$34</f>
        <v>#REF!</v>
      </c>
      <c r="W11" s="28" t="e">
        <f t="shared" si="9"/>
        <v>#REF!</v>
      </c>
      <c r="X11" s="28" t="e">
        <f t="shared" si="10"/>
        <v>#REF!</v>
      </c>
      <c r="Y11" s="28" t="e">
        <f t="shared" si="11"/>
        <v>#REF!</v>
      </c>
      <c r="Z11" s="28" t="e">
        <f t="shared" si="12"/>
        <v>#REF!</v>
      </c>
      <c r="AA11" s="16" t="e">
        <f t="shared" si="0"/>
        <v>#REF!</v>
      </c>
      <c r="AE11" s="41" t="e" cm="1">
        <f t="array" ref="AE11">_xlfn.IFS($V11&gt;$W$3,($W$3+$Y$101),$V11&lt;$X$3,($V11+$X11+$Y$101), $V11&lt;$W$3,$V11+$Y$101,$V11&gt;$X$3,$V11+$Y$101)</f>
        <v>#REF!</v>
      </c>
      <c r="AF11" s="41">
        <v>221089.81241036914</v>
      </c>
      <c r="AG11" s="41">
        <v>224475.54079945217</v>
      </c>
      <c r="AH11" s="41">
        <v>220944.75758768409</v>
      </c>
      <c r="AI11" s="41">
        <v>211522.69153652203</v>
      </c>
      <c r="AJ11" s="41">
        <v>232631.90257841197</v>
      </c>
      <c r="AK11" s="41">
        <v>236569.41653375613</v>
      </c>
      <c r="AL11" s="41">
        <v>240506.93048910028</v>
      </c>
      <c r="AM11" s="41">
        <v>242475.68746677236</v>
      </c>
      <c r="AN11" s="41"/>
      <c r="AO11" s="42" t="s">
        <v>51</v>
      </c>
      <c r="AP11" s="41">
        <f t="shared" si="13"/>
        <v>221089.81241036914</v>
      </c>
      <c r="AR11" s="41"/>
      <c r="AT11" t="s">
        <v>31</v>
      </c>
    </row>
    <row r="12" spans="1:46" x14ac:dyDescent="0.3">
      <c r="A12" s="51">
        <v>0</v>
      </c>
      <c r="B12" s="18" t="s">
        <v>52</v>
      </c>
      <c r="C12" s="52">
        <f t="shared" si="14"/>
        <v>0</v>
      </c>
      <c r="D12" s="32" t="s">
        <v>53</v>
      </c>
      <c r="E12" s="33">
        <v>559674.38555899996</v>
      </c>
      <c r="F12" s="33">
        <v>1535.77907931</v>
      </c>
      <c r="G12" s="33">
        <v>159116.84365600001</v>
      </c>
      <c r="H12" s="33">
        <v>399021.76282300003</v>
      </c>
      <c r="I12" s="33">
        <v>24007.128697</v>
      </c>
      <c r="J12" s="34">
        <v>7283.5519852199996</v>
      </c>
      <c r="K12" s="35">
        <f t="shared" si="1"/>
        <v>367731.08214146999</v>
      </c>
      <c r="L12" s="36">
        <f t="shared" si="2"/>
        <v>9.0947230639762209E-3</v>
      </c>
      <c r="M12" s="37">
        <v>36207</v>
      </c>
      <c r="N12" s="38">
        <f t="shared" si="3"/>
        <v>6.344876556428518E-3</v>
      </c>
      <c r="O12" s="38">
        <f t="shared" si="4"/>
        <v>33.082438513923982</v>
      </c>
      <c r="P12" s="38">
        <f t="shared" si="5"/>
        <v>1.1520646311717389E-2</v>
      </c>
      <c r="Q12" s="76">
        <v>9211.7410331699994</v>
      </c>
      <c r="R12" s="33">
        <v>921.065313554</v>
      </c>
      <c r="S12" s="39">
        <f t="shared" si="6"/>
        <v>1.0116942518940826E-2</v>
      </c>
      <c r="T12" s="40">
        <f t="shared" si="7"/>
        <v>164256.38739687376</v>
      </c>
      <c r="U12" s="28">
        <f t="shared" si="8"/>
        <v>156492.73276394047</v>
      </c>
      <c r="V12" s="28" t="e">
        <f>(#REF!*$C$13)+$B$34</f>
        <v>#REF!</v>
      </c>
      <c r="W12" s="28" t="e">
        <f t="shared" si="9"/>
        <v>#REF!</v>
      </c>
      <c r="X12" s="28" t="e">
        <f t="shared" si="10"/>
        <v>#REF!</v>
      </c>
      <c r="Y12" s="28" t="e">
        <f t="shared" si="11"/>
        <v>#REF!</v>
      </c>
      <c r="Z12" s="28" t="e">
        <f t="shared" si="12"/>
        <v>#REF!</v>
      </c>
      <c r="AA12" s="16" t="e">
        <f t="shared" si="0"/>
        <v>#REF!</v>
      </c>
      <c r="AE12" s="41" t="e" cm="1">
        <f t="array" ref="AE12">_xlfn.IFS($V12&gt;$W$3,($W$3+$Y$101),$V12&lt;$X$3,($V12+$X12+$Y$101), $V12&lt;$W$3,$V12+$Y$101,$V12&gt;$X$3,$V12+$Y$101)</f>
        <v>#REF!</v>
      </c>
      <c r="AF12" s="41">
        <v>273730.55156470247</v>
      </c>
      <c r="AG12" s="41">
        <v>225019.7513011673</v>
      </c>
      <c r="AH12" s="41">
        <v>227681.42305665318</v>
      </c>
      <c r="AI12" s="41">
        <v>219958.94887791487</v>
      </c>
      <c r="AJ12" s="41">
        <v>233448.21833098467</v>
      </c>
      <c r="AK12" s="41">
        <v>237113.62703547129</v>
      </c>
      <c r="AL12" s="41">
        <v>240779.03573995785</v>
      </c>
      <c r="AM12" s="41">
        <v>242611.74009220116</v>
      </c>
      <c r="AN12" s="41"/>
      <c r="AO12" s="32" t="s">
        <v>53</v>
      </c>
      <c r="AP12" s="41">
        <f t="shared" si="13"/>
        <v>273730.55156470247</v>
      </c>
      <c r="AR12" s="41"/>
      <c r="AT12" t="s">
        <v>32</v>
      </c>
    </row>
    <row r="13" spans="1:46" x14ac:dyDescent="0.3">
      <c r="A13" s="51">
        <v>0.1</v>
      </c>
      <c r="B13" s="18" t="s">
        <v>54</v>
      </c>
      <c r="C13" s="52">
        <f t="shared" si="14"/>
        <v>1500000</v>
      </c>
      <c r="D13" s="42" t="s">
        <v>55</v>
      </c>
      <c r="E13" s="43">
        <v>240517.311078</v>
      </c>
      <c r="F13" s="43">
        <v>2560.5882416200002</v>
      </c>
      <c r="G13" s="43">
        <v>3495.9132101300002</v>
      </c>
      <c r="H13" s="43">
        <v>234460.809626</v>
      </c>
      <c r="I13" s="43">
        <v>0</v>
      </c>
      <c r="J13" s="44">
        <v>10971.371564999999</v>
      </c>
      <c r="K13" s="35">
        <f t="shared" si="1"/>
        <v>223489.43806125</v>
      </c>
      <c r="L13" s="36">
        <f t="shared" si="2"/>
        <v>5.5273395304364908E-3</v>
      </c>
      <c r="M13" s="45">
        <v>106922</v>
      </c>
      <c r="N13" s="38">
        <f t="shared" si="3"/>
        <v>1.8736898698219959E-2</v>
      </c>
      <c r="O13" s="38">
        <f t="shared" si="4"/>
        <v>47.463055298335931</v>
      </c>
      <c r="P13" s="38">
        <f t="shared" si="5"/>
        <v>1.6528560091949359E-2</v>
      </c>
      <c r="Q13" s="76">
        <v>17939.620026000001</v>
      </c>
      <c r="R13" s="43">
        <v>675.74992054899997</v>
      </c>
      <c r="S13" s="39">
        <f t="shared" si="6"/>
        <v>7.4224085987928731E-3</v>
      </c>
      <c r="T13" s="40">
        <f t="shared" si="7"/>
        <v>166417.18276691213</v>
      </c>
      <c r="U13" s="28">
        <f t="shared" si="8"/>
        <v>169729.69067631802</v>
      </c>
      <c r="V13" s="28" t="e">
        <f>(#REF!*$C$13)+$B$34</f>
        <v>#REF!</v>
      </c>
      <c r="W13" s="28" t="e">
        <f t="shared" si="9"/>
        <v>#REF!</v>
      </c>
      <c r="X13" s="28" t="e">
        <f t="shared" si="10"/>
        <v>#REF!</v>
      </c>
      <c r="Y13" s="28" t="e">
        <f t="shared" si="11"/>
        <v>#REF!</v>
      </c>
      <c r="Z13" s="28" t="e">
        <f t="shared" si="12"/>
        <v>#REF!</v>
      </c>
      <c r="AA13" s="16" t="e">
        <f t="shared" si="0"/>
        <v>#REF!</v>
      </c>
      <c r="AE13" s="41" t="e" cm="1">
        <f t="array" ref="AE13">_xlfn.IFS($V13&gt;$W$3,($W$3+$Y$101),$V13&lt;$X$3,($V13+$X13+$Y$101), $V13&lt;$W$3,$V13+$Y$101,$V13&gt;$X$3,$V13+$Y$101)</f>
        <v>#REF!</v>
      </c>
      <c r="AF13" s="41">
        <v>257045.56378254254</v>
      </c>
      <c r="AG13" s="41">
        <v>271049.9111072059</v>
      </c>
      <c r="AH13" s="41">
        <v>286915.81153735402</v>
      </c>
      <c r="AI13" s="41">
        <v>267290.72991810821</v>
      </c>
      <c r="AJ13" s="41">
        <v>208420.7366577448</v>
      </c>
      <c r="AK13" s="41">
        <v>220428.63925331138</v>
      </c>
      <c r="AL13" s="41">
        <v>232436.54184887791</v>
      </c>
      <c r="AM13" s="41">
        <v>238440.49314666117</v>
      </c>
      <c r="AN13" s="41"/>
      <c r="AO13" s="42" t="s">
        <v>55</v>
      </c>
      <c r="AP13" s="41">
        <f t="shared" si="13"/>
        <v>257045.56378254254</v>
      </c>
      <c r="AR13" s="41"/>
      <c r="AT13" t="s">
        <v>33</v>
      </c>
    </row>
    <row r="14" spans="1:46" ht="18.600000000000001" thickBot="1" x14ac:dyDescent="0.4">
      <c r="A14" s="53">
        <f>SUM(A8:A13)</f>
        <v>1</v>
      </c>
      <c r="B14" s="54" t="s">
        <v>56</v>
      </c>
      <c r="C14" s="55">
        <f>SUM(C8:C13)</f>
        <v>15000000</v>
      </c>
      <c r="D14" s="32" t="s">
        <v>57</v>
      </c>
      <c r="E14" s="33">
        <v>1544207.00979</v>
      </c>
      <c r="F14" s="33">
        <v>289829.53106100002</v>
      </c>
      <c r="G14" s="33">
        <v>445927.29405999999</v>
      </c>
      <c r="H14" s="33">
        <v>808450.18466899998</v>
      </c>
      <c r="I14" s="33">
        <v>18445.556286899999</v>
      </c>
      <c r="J14" s="34">
        <v>10414.1260339</v>
      </c>
      <c r="K14" s="35">
        <f t="shared" si="1"/>
        <v>779590.50234820019</v>
      </c>
      <c r="L14" s="36">
        <f t="shared" si="2"/>
        <v>1.9280827937833457E-2</v>
      </c>
      <c r="M14" s="37">
        <v>30066</v>
      </c>
      <c r="N14" s="38">
        <f t="shared" si="3"/>
        <v>5.2687341824945401E-3</v>
      </c>
      <c r="O14" s="38">
        <f t="shared" si="4"/>
        <v>31.095094741636419</v>
      </c>
      <c r="P14" s="38">
        <f t="shared" si="5"/>
        <v>1.0828572639739346E-2</v>
      </c>
      <c r="Q14" s="76">
        <v>274975.90340399998</v>
      </c>
      <c r="R14" s="33">
        <v>3001.7489727500001</v>
      </c>
      <c r="S14" s="39">
        <f t="shared" si="6"/>
        <v>3.2971083990148531E-2</v>
      </c>
      <c r="T14" s="40">
        <f t="shared" si="7"/>
        <v>178497.43419969257</v>
      </c>
      <c r="U14" s="28">
        <f t="shared" si="8"/>
        <v>170157.67651382534</v>
      </c>
      <c r="V14" s="28" t="e">
        <f>(#REF!*$C$13)+$B$34</f>
        <v>#REF!</v>
      </c>
      <c r="W14" s="28" t="e">
        <f t="shared" si="9"/>
        <v>#REF!</v>
      </c>
      <c r="X14" s="28" t="e">
        <f t="shared" si="10"/>
        <v>#REF!</v>
      </c>
      <c r="Y14" s="28" t="e">
        <f t="shared" si="11"/>
        <v>#REF!</v>
      </c>
      <c r="Z14" s="28" t="e">
        <f t="shared" si="12"/>
        <v>#REF!</v>
      </c>
      <c r="AA14" s="16" t="e">
        <f t="shared" si="0"/>
        <v>#REF!</v>
      </c>
      <c r="AE14" s="41" t="e" cm="1">
        <f t="array" ref="AE14">_xlfn.IFS($V14&gt;$W$3,($W$3+$Y$101),$V14&lt;$X$3,($V14+$X14+$Y$101), $V14&lt;$W$3,$V14+$Y$101,$V14&gt;$X$3,$V14+$Y$101)</f>
        <v>#REF!</v>
      </c>
      <c r="AF14" s="41">
        <v>264736.67293115694</v>
      </c>
      <c r="AG14" s="41">
        <v>268122.40132023999</v>
      </c>
      <c r="AH14" s="41">
        <v>270784.07307572587</v>
      </c>
      <c r="AI14" s="41">
        <v>237062.00594010574</v>
      </c>
      <c r="AJ14" s="41">
        <v>298102.19335959374</v>
      </c>
      <c r="AK14" s="41">
        <v>280216.27705454396</v>
      </c>
      <c r="AL14" s="41">
        <v>262330.36074949423</v>
      </c>
      <c r="AM14" s="41">
        <v>253387.40259696933</v>
      </c>
      <c r="AN14" s="41"/>
      <c r="AO14" s="32" t="s">
        <v>57</v>
      </c>
      <c r="AP14" s="41">
        <f t="shared" si="13"/>
        <v>264736.67293115694</v>
      </c>
      <c r="AR14" s="41"/>
    </row>
    <row r="15" spans="1:46" ht="24" thickBot="1" x14ac:dyDescent="0.5">
      <c r="A15" s="97" t="s">
        <v>58</v>
      </c>
      <c r="B15" s="98" t="s">
        <v>59</v>
      </c>
      <c r="C15" s="56"/>
      <c r="D15" s="42" t="s">
        <v>60</v>
      </c>
      <c r="E15" s="43">
        <v>376265.34126700001</v>
      </c>
      <c r="F15" s="43">
        <v>383.88084892799998</v>
      </c>
      <c r="G15" s="43">
        <v>14292.8303084</v>
      </c>
      <c r="H15" s="43">
        <v>361588.63010900002</v>
      </c>
      <c r="I15" s="43">
        <v>0</v>
      </c>
      <c r="J15" s="44">
        <v>1667.77996007</v>
      </c>
      <c r="K15" s="35">
        <f t="shared" si="1"/>
        <v>359920.85014960205</v>
      </c>
      <c r="L15" s="36">
        <f t="shared" si="2"/>
        <v>8.9015604500960049E-3</v>
      </c>
      <c r="M15" s="45">
        <v>12598</v>
      </c>
      <c r="N15" s="38">
        <f t="shared" si="3"/>
        <v>2.2076602551408973E-3</v>
      </c>
      <c r="O15" s="38">
        <f t="shared" si="4"/>
        <v>23.26843645000708</v>
      </c>
      <c r="P15" s="38">
        <f t="shared" si="5"/>
        <v>8.1030129158821927E-3</v>
      </c>
      <c r="Q15" s="76">
        <v>3850.2281301799999</v>
      </c>
      <c r="R15" s="43">
        <v>492.21225142899999</v>
      </c>
      <c r="S15" s="39">
        <f t="shared" si="6"/>
        <v>5.4064385896925816E-3</v>
      </c>
      <c r="T15" s="40">
        <f t="shared" si="7"/>
        <v>158840.19338230064</v>
      </c>
      <c r="U15" s="28">
        <f t="shared" si="8"/>
        <v>149997.16439118871</v>
      </c>
      <c r="V15" s="28" t="e">
        <f>(#REF!*$C$13)+$B$34</f>
        <v>#REF!</v>
      </c>
      <c r="W15" s="28" t="e">
        <f t="shared" si="9"/>
        <v>#REF!</v>
      </c>
      <c r="X15" s="28" t="e">
        <f t="shared" si="10"/>
        <v>#REF!</v>
      </c>
      <c r="Y15" s="28" t="e">
        <f t="shared" si="11"/>
        <v>#REF!</v>
      </c>
      <c r="Z15" s="28" t="e">
        <f t="shared" si="12"/>
        <v>#REF!</v>
      </c>
      <c r="AA15" s="16" t="e">
        <f t="shared" si="0"/>
        <v>#REF!</v>
      </c>
      <c r="AE15" s="41" t="e" cm="1">
        <f t="array" ref="AE15">_xlfn.IFS($V15&gt;$W$3,($W$3+$Y$101),$V15&lt;$X$3,($V15+$X15+$Y$101), $V15&lt;$W$3,$V15+$Y$101,$V15&gt;$X$3,$V15+$Y$101)</f>
        <v>#REF!</v>
      </c>
      <c r="AF15" s="41">
        <v>212600.91941125979</v>
      </c>
      <c r="AG15" s="41">
        <v>215517.48189551613</v>
      </c>
      <c r="AH15" s="41">
        <v>214253.46851377815</v>
      </c>
      <c r="AI15" s="41">
        <v>199728.83920815011</v>
      </c>
      <c r="AJ15" s="41">
        <v>228385.1375034338</v>
      </c>
      <c r="AK15" s="41">
        <v>233738.23981710401</v>
      </c>
      <c r="AL15" s="41">
        <v>239091.34213077422</v>
      </c>
      <c r="AM15" s="41">
        <v>241767.89328760933</v>
      </c>
      <c r="AN15" s="41"/>
      <c r="AO15" s="42" t="s">
        <v>60</v>
      </c>
      <c r="AP15" s="41">
        <f t="shared" si="13"/>
        <v>212600.91941125979</v>
      </c>
      <c r="AR15" s="41"/>
    </row>
    <row r="16" spans="1:46" ht="18" x14ac:dyDescent="0.35">
      <c r="A16" s="79" t="s">
        <v>61</v>
      </c>
      <c r="B16" s="99">
        <v>300000</v>
      </c>
      <c r="D16" s="32" t="s">
        <v>62</v>
      </c>
      <c r="E16" s="33">
        <v>283045.01373599999</v>
      </c>
      <c r="F16" s="33">
        <v>2448.5988771900002</v>
      </c>
      <c r="G16" s="33">
        <v>19123.474692100001</v>
      </c>
      <c r="H16" s="33">
        <v>261472.94016699999</v>
      </c>
      <c r="I16" s="33">
        <v>0</v>
      </c>
      <c r="J16" s="34">
        <v>5640.9372114500002</v>
      </c>
      <c r="K16" s="35">
        <f t="shared" si="1"/>
        <v>255832.00295526005</v>
      </c>
      <c r="L16" s="36">
        <f t="shared" si="2"/>
        <v>6.3272356642545711E-3</v>
      </c>
      <c r="M16" s="37">
        <v>56621</v>
      </c>
      <c r="N16" s="38">
        <f t="shared" si="3"/>
        <v>9.9222044218393989E-3</v>
      </c>
      <c r="O16" s="38">
        <f t="shared" si="4"/>
        <v>38.399524372002325</v>
      </c>
      <c r="P16" s="38">
        <f t="shared" si="5"/>
        <v>1.3372271171661525E-2</v>
      </c>
      <c r="Q16" s="76">
        <v>17050.688835199999</v>
      </c>
      <c r="R16" s="33">
        <v>606.42582135099997</v>
      </c>
      <c r="S16" s="39">
        <f t="shared" si="6"/>
        <v>6.6609556198968228E-3</v>
      </c>
      <c r="T16" s="40">
        <f t="shared" si="7"/>
        <v>162882.59358720749</v>
      </c>
      <c r="U16" s="28">
        <f t="shared" si="8"/>
        <v>157707.49346247429</v>
      </c>
      <c r="V16" s="28" t="e">
        <f>(#REF!*$C$13)+$B$34</f>
        <v>#REF!</v>
      </c>
      <c r="W16" s="28" t="e">
        <f t="shared" si="9"/>
        <v>#REF!</v>
      </c>
      <c r="X16" s="28" t="e">
        <f t="shared" si="10"/>
        <v>#REF!</v>
      </c>
      <c r="Y16" s="28" t="e">
        <f t="shared" si="11"/>
        <v>#REF!</v>
      </c>
      <c r="Z16" s="28" t="e">
        <f t="shared" si="12"/>
        <v>#REF!</v>
      </c>
      <c r="AA16" s="16" t="e">
        <f t="shared" si="0"/>
        <v>#REF!</v>
      </c>
      <c r="AE16" s="41" t="e" cm="1">
        <f t="array" ref="AE16">_xlfn.IFS($V16&gt;$W$3,($W$3+$Y$101),$V16&lt;$X$3,($V16+$X16+$Y$101), $V16&lt;$W$3,$V16+$Y$101,$V16&gt;$X$3,$V16+$Y$101)</f>
        <v>#REF!</v>
      </c>
      <c r="AF16" s="41">
        <v>259312.75992347903</v>
      </c>
      <c r="AG16" s="41">
        <v>273317.10724814236</v>
      </c>
      <c r="AH16" s="41">
        <v>289183.00767829048</v>
      </c>
      <c r="AI16" s="41">
        <v>228985.84559995396</v>
      </c>
      <c r="AJ16" s="41">
        <v>211821.53086914949</v>
      </c>
      <c r="AK16" s="41">
        <v>222695.83539424784</v>
      </c>
      <c r="AL16" s="41">
        <v>233570.13991934614</v>
      </c>
      <c r="AM16" s="41">
        <v>239007.29218189529</v>
      </c>
      <c r="AN16" s="41"/>
      <c r="AO16" s="32" t="s">
        <v>62</v>
      </c>
      <c r="AP16" s="41">
        <f t="shared" si="13"/>
        <v>259312.75992347903</v>
      </c>
      <c r="AR16" s="41"/>
    </row>
    <row r="17" spans="1:44" ht="18.600000000000001" thickBot="1" x14ac:dyDescent="0.4">
      <c r="A17" s="79" t="s">
        <v>63</v>
      </c>
      <c r="B17" s="99">
        <v>200000</v>
      </c>
      <c r="D17" s="42" t="s">
        <v>64</v>
      </c>
      <c r="E17" s="43">
        <v>674328.59712000005</v>
      </c>
      <c r="F17" s="43">
        <v>13939.367628399999</v>
      </c>
      <c r="G17" s="43">
        <v>12862.1178979</v>
      </c>
      <c r="H17" s="43">
        <v>647527.11159300001</v>
      </c>
      <c r="I17" s="43">
        <v>0</v>
      </c>
      <c r="J17" s="44">
        <v>7376.7796955499998</v>
      </c>
      <c r="K17" s="35">
        <f t="shared" si="1"/>
        <v>640150.33189815003</v>
      </c>
      <c r="L17" s="36">
        <f t="shared" si="2"/>
        <v>1.5832194423223537E-2</v>
      </c>
      <c r="M17" s="45">
        <v>65318</v>
      </c>
      <c r="N17" s="38">
        <f t="shared" si="3"/>
        <v>1.1446257544474769E-2</v>
      </c>
      <c r="O17" s="38">
        <f t="shared" si="4"/>
        <v>40.272719706580375</v>
      </c>
      <c r="P17" s="38">
        <f t="shared" si="5"/>
        <v>1.4024593729847492E-2</v>
      </c>
      <c r="Q17" s="76">
        <v>5593.7822216200002</v>
      </c>
      <c r="R17" s="43">
        <v>757.92792545299994</v>
      </c>
      <c r="S17" s="39">
        <f t="shared" si="6"/>
        <v>8.3250483353030057E-3</v>
      </c>
      <c r="T17" s="40">
        <f t="shared" si="7"/>
        <v>178118.51556293989</v>
      </c>
      <c r="U17" s="28">
        <f t="shared" si="8"/>
        <v>174251.01128488081</v>
      </c>
      <c r="V17" s="28" t="e">
        <f>(#REF!*$C$13)+$B$34</f>
        <v>#REF!</v>
      </c>
      <c r="W17" s="28" t="e">
        <f t="shared" si="9"/>
        <v>#REF!</v>
      </c>
      <c r="X17" s="28" t="e">
        <f t="shared" si="10"/>
        <v>#REF!</v>
      </c>
      <c r="Y17" s="28" t="e">
        <f t="shared" si="11"/>
        <v>#REF!</v>
      </c>
      <c r="Z17" s="28" t="e">
        <f t="shared" si="12"/>
        <v>#REF!</v>
      </c>
      <c r="AA17" s="16" t="e">
        <f t="shared" si="0"/>
        <v>#REF!</v>
      </c>
      <c r="AE17" s="41" t="e" cm="1">
        <f t="array" ref="AE17">_xlfn.IFS($V17&gt;$W$3,($W$3+$Y$101),$V17&lt;$X$3,($V17+$X17+$Y$101), $V17&lt;$W$3,$V17+$Y$101,$V17&gt;$X$3,$V17+$Y$101)</f>
        <v>#REF!</v>
      </c>
      <c r="AF17" s="41">
        <v>300083.68331914465</v>
      </c>
      <c r="AG17" s="41">
        <v>314088.03064380807</v>
      </c>
      <c r="AH17" s="41">
        <v>329953.93107395613</v>
      </c>
      <c r="AI17" s="41">
        <v>255619.69754271486</v>
      </c>
      <c r="AJ17" s="41">
        <v>272977.915962648</v>
      </c>
      <c r="AK17" s="41">
        <v>263466.7587899135</v>
      </c>
      <c r="AL17" s="41">
        <v>253955.60161717897</v>
      </c>
      <c r="AM17" s="41">
        <v>249200.02303081169</v>
      </c>
      <c r="AN17" s="41"/>
      <c r="AO17" s="42" t="s">
        <v>64</v>
      </c>
      <c r="AP17" s="41">
        <f t="shared" si="13"/>
        <v>300083.68331914465</v>
      </c>
      <c r="AR17" s="41"/>
    </row>
    <row r="18" spans="1:44" x14ac:dyDescent="0.3">
      <c r="A18" s="84" t="s">
        <v>65</v>
      </c>
      <c r="B18" s="100"/>
      <c r="D18" s="32" t="s">
        <v>66</v>
      </c>
      <c r="E18" s="33">
        <v>658826.99440299999</v>
      </c>
      <c r="F18" s="33">
        <v>526.51049630700004</v>
      </c>
      <c r="G18" s="33">
        <v>144951.70082</v>
      </c>
      <c r="H18" s="33">
        <v>513348.78308600001</v>
      </c>
      <c r="I18" s="33">
        <v>18821.5837718</v>
      </c>
      <c r="J18" s="34">
        <v>3162.6713939000001</v>
      </c>
      <c r="K18" s="35">
        <f t="shared" si="1"/>
        <v>491364.52792099293</v>
      </c>
      <c r="L18" s="36">
        <f t="shared" si="2"/>
        <v>1.2152424752563175E-2</v>
      </c>
      <c r="M18" s="37">
        <v>8524</v>
      </c>
      <c r="N18" s="38">
        <f t="shared" si="3"/>
        <v>1.4937367847929043E-3</v>
      </c>
      <c r="O18" s="38">
        <f t="shared" si="4"/>
        <v>20.427465248687103</v>
      </c>
      <c r="P18" s="38">
        <f t="shared" si="5"/>
        <v>7.1136715655338275E-3</v>
      </c>
      <c r="Q18" s="76">
        <v>21751.338621499999</v>
      </c>
      <c r="R18" s="33">
        <v>1101.1430339000001</v>
      </c>
      <c r="S18" s="39">
        <f t="shared" si="6"/>
        <v>1.2094908596778123E-2</v>
      </c>
      <c r="T18" s="40">
        <f t="shared" si="7"/>
        <v>162232.47781047886</v>
      </c>
      <c r="U18" s="28">
        <f t="shared" si="8"/>
        <v>153802.57563936745</v>
      </c>
      <c r="V18" s="28" t="e">
        <f>(#REF!*$C$13)+$B$34</f>
        <v>#REF!</v>
      </c>
      <c r="W18" s="28" t="e">
        <f t="shared" si="9"/>
        <v>#REF!</v>
      </c>
      <c r="X18" s="28" t="e">
        <f t="shared" si="10"/>
        <v>#REF!</v>
      </c>
      <c r="Y18" s="28" t="e">
        <f t="shared" si="11"/>
        <v>#REF!</v>
      </c>
      <c r="Z18" s="28" t="e">
        <f t="shared" si="12"/>
        <v>#REF!</v>
      </c>
      <c r="AA18" s="16" t="e">
        <f t="shared" si="0"/>
        <v>#REF!</v>
      </c>
      <c r="AE18" s="41" t="e" cm="1">
        <f t="array" ref="AE18">_xlfn.IFS($V18&gt;$W$3,($W$3+$Y$101),$V18&lt;$X$3,($V18+$X18+$Y$101), $V18&lt;$W$3,$V18+$Y$101,$V18&gt;$X$3,$V18+$Y$101)</f>
        <v>#REF!</v>
      </c>
      <c r="AF18" s="41">
        <v>228542.01044446288</v>
      </c>
      <c r="AG18" s="41">
        <v>228054.66510204814</v>
      </c>
      <c r="AH18" s="41">
        <v>227733.79279448043</v>
      </c>
      <c r="AI18" s="41">
        <v>204784.49718421212</v>
      </c>
      <c r="AJ18" s="41">
        <v>252296.77405323842</v>
      </c>
      <c r="AK18" s="41">
        <v>249679.33085030713</v>
      </c>
      <c r="AL18" s="41">
        <v>247061.88764737578</v>
      </c>
      <c r="AM18" s="41">
        <v>245753.1660459101</v>
      </c>
      <c r="AN18" s="41"/>
      <c r="AO18" s="32" t="s">
        <v>66</v>
      </c>
      <c r="AP18" s="41">
        <f t="shared" si="13"/>
        <v>228542.01044446288</v>
      </c>
      <c r="AR18" s="41"/>
    </row>
    <row r="19" spans="1:44" x14ac:dyDescent="0.3">
      <c r="A19" s="79"/>
      <c r="B19" s="89" t="s">
        <v>67</v>
      </c>
      <c r="C19" s="105" t="s">
        <v>68</v>
      </c>
      <c r="D19" s="42" t="s">
        <v>69</v>
      </c>
      <c r="E19" s="43">
        <v>1027593.15024</v>
      </c>
      <c r="F19" s="43">
        <v>660311.44432100002</v>
      </c>
      <c r="G19" s="43">
        <v>149102.81144200001</v>
      </c>
      <c r="H19" s="43">
        <v>218178.89447500001</v>
      </c>
      <c r="I19" s="43">
        <v>44446.213413799996</v>
      </c>
      <c r="J19" s="44">
        <v>1775.7222707400001</v>
      </c>
      <c r="K19" s="35">
        <f t="shared" si="1"/>
        <v>171956.95879245998</v>
      </c>
      <c r="L19" s="36">
        <f t="shared" si="2"/>
        <v>4.2528385417780522E-3</v>
      </c>
      <c r="M19" s="45">
        <v>5600</v>
      </c>
      <c r="N19" s="38">
        <f t="shared" si="3"/>
        <v>9.8133810357112434E-4</v>
      </c>
      <c r="O19" s="38">
        <f t="shared" si="4"/>
        <v>17.758080034852018</v>
      </c>
      <c r="P19" s="38">
        <f t="shared" si="5"/>
        <v>6.1840834124302245E-3</v>
      </c>
      <c r="Q19" s="76">
        <v>97733.565417499995</v>
      </c>
      <c r="R19" s="43">
        <v>3554.6929706400001</v>
      </c>
      <c r="S19" s="39">
        <f t="shared" si="6"/>
        <v>3.904459751902218E-2</v>
      </c>
      <c r="T19" s="40">
        <f t="shared" si="7"/>
        <v>148988.71626464574</v>
      </c>
      <c r="U19" s="28">
        <f t="shared" si="8"/>
        <v>141184.59830135709</v>
      </c>
      <c r="V19" s="28" t="e">
        <f>(#REF!*$C$13)+$B$34</f>
        <v>#REF!</v>
      </c>
      <c r="W19" s="28" t="e">
        <f t="shared" si="9"/>
        <v>#REF!</v>
      </c>
      <c r="X19" s="28" t="e">
        <f t="shared" si="10"/>
        <v>#REF!</v>
      </c>
      <c r="Y19" s="28" t="e">
        <f t="shared" si="11"/>
        <v>#REF!</v>
      </c>
      <c r="Z19" s="28" t="e">
        <f t="shared" si="12"/>
        <v>#REF!</v>
      </c>
      <c r="AA19" s="16" t="e">
        <f t="shared" si="0"/>
        <v>#REF!</v>
      </c>
      <c r="AE19" s="41" t="e" cm="1">
        <f t="array" ref="AE19">_xlfn.IFS($V19&gt;$W$3,($W$3+$Y$101),$V19&lt;$X$3,($V19+$X19+$Y$101), $V19&lt;$W$3,$V19+$Y$101,$V19&gt;$X$3,$V19+$Y$101)</f>
        <v>#REF!</v>
      </c>
      <c r="AF19" s="41">
        <v>197375.65479937778</v>
      </c>
      <c r="AG19" s="41">
        <v>196888.30945696303</v>
      </c>
      <c r="AH19" s="41">
        <v>196567.43714939532</v>
      </c>
      <c r="AI19" s="41">
        <v>186920.1365443047</v>
      </c>
      <c r="AJ19" s="41">
        <v>205547.24058561074</v>
      </c>
      <c r="AK19" s="41">
        <v>218512.975205222</v>
      </c>
      <c r="AL19" s="41">
        <v>231478.7098248332</v>
      </c>
      <c r="AM19" s="41">
        <v>237961.57713463882</v>
      </c>
      <c r="AN19" s="41"/>
      <c r="AO19" s="42" t="s">
        <v>69</v>
      </c>
      <c r="AP19" s="41">
        <f t="shared" si="13"/>
        <v>197375.65479937778</v>
      </c>
      <c r="AR19" s="41"/>
    </row>
    <row r="20" spans="1:44" x14ac:dyDescent="0.3">
      <c r="A20" s="89" t="s">
        <v>70</v>
      </c>
      <c r="B20" s="101">
        <f>_xlfn.PERCENTILE.INC($M$4:$M$93,0.3333)</f>
        <v>14040.4501</v>
      </c>
      <c r="C20" s="106">
        <f>($C$10*C63)/30</f>
        <v>2254.8572990456232</v>
      </c>
      <c r="D20" s="57" t="s">
        <v>71</v>
      </c>
      <c r="E20" s="33">
        <v>415028.124243</v>
      </c>
      <c r="F20" s="33">
        <v>3453.6909940199998</v>
      </c>
      <c r="G20" s="33">
        <v>9646.6646464299993</v>
      </c>
      <c r="H20" s="33">
        <v>401927.76860299997</v>
      </c>
      <c r="I20" s="33">
        <v>0</v>
      </c>
      <c r="J20" s="34">
        <v>1534.9597279300001</v>
      </c>
      <c r="K20" s="35">
        <f t="shared" si="1"/>
        <v>400392.80887461995</v>
      </c>
      <c r="L20" s="36">
        <f t="shared" si="2"/>
        <v>9.9025127066123837E-3</v>
      </c>
      <c r="M20" s="37">
        <v>11517</v>
      </c>
      <c r="N20" s="38">
        <f t="shared" si="3"/>
        <v>2.0182269533622569E-3</v>
      </c>
      <c r="O20" s="38">
        <f t="shared" si="4"/>
        <v>22.582904031211637</v>
      </c>
      <c r="P20" s="38">
        <f t="shared" si="5"/>
        <v>7.864282734948453E-3</v>
      </c>
      <c r="Q20" s="76">
        <v>7206.8173404299996</v>
      </c>
      <c r="R20" s="33">
        <v>596.66749734699999</v>
      </c>
      <c r="S20" s="39">
        <f t="shared" si="6"/>
        <v>6.5537706010095819E-3</v>
      </c>
      <c r="T20" s="40">
        <f t="shared" si="7"/>
        <v>159983.5264956746</v>
      </c>
      <c r="U20" s="28">
        <f t="shared" si="8"/>
        <v>151214.44282329531</v>
      </c>
      <c r="V20" s="28" t="e">
        <f>(#REF!*$C$13)+$B$34</f>
        <v>#REF!</v>
      </c>
      <c r="W20" s="28" t="e">
        <f t="shared" si="9"/>
        <v>#REF!</v>
      </c>
      <c r="X20" s="28" t="e">
        <f t="shared" si="10"/>
        <v>#REF!</v>
      </c>
      <c r="Y20" s="28" t="e">
        <f t="shared" si="11"/>
        <v>#REF!</v>
      </c>
      <c r="Z20" s="28" t="e">
        <f t="shared" si="12"/>
        <v>#REF!</v>
      </c>
      <c r="AA20" s="16" t="e">
        <f t="shared" si="0"/>
        <v>#REF!</v>
      </c>
      <c r="AE20" s="41" t="e" cm="1">
        <f t="array" ref="AE20">_xlfn.IFS($V20&gt;$W$3,($W$3+$Y$101),$V20&lt;$X$3,($V20+$X20+$Y$101), $V20&lt;$W$3,$V20+$Y$101,$V20&gt;$X$3,$V20+$Y$101)</f>
        <v>#REF!</v>
      </c>
      <c r="AF20" s="41">
        <v>216894.44122529603</v>
      </c>
      <c r="AG20" s="41">
        <v>219811.00370955237</v>
      </c>
      <c r="AH20" s="41">
        <v>218546.99032781439</v>
      </c>
      <c r="AI20" s="41">
        <v>201268.10702287912</v>
      </c>
      <c r="AJ20" s="41">
        <v>234825.42022448813</v>
      </c>
      <c r="AK20" s="41">
        <v>238031.76163114025</v>
      </c>
      <c r="AL20" s="41">
        <v>241238.10303779235</v>
      </c>
      <c r="AM20" s="41">
        <v>242841.27374111838</v>
      </c>
      <c r="AN20" s="41"/>
      <c r="AO20" s="57" t="s">
        <v>71</v>
      </c>
      <c r="AP20" s="41">
        <f t="shared" si="13"/>
        <v>216894.44122529603</v>
      </c>
      <c r="AR20" s="41"/>
    </row>
    <row r="21" spans="1:44" x14ac:dyDescent="0.3">
      <c r="A21" s="89" t="s">
        <v>72</v>
      </c>
      <c r="B21" s="101">
        <f>_xlfn.PERCENTILE.INC($M$4:$M$93,0.6666)</f>
        <v>35518.257599999997</v>
      </c>
      <c r="C21" s="106">
        <f t="shared" ref="C21:C22" si="15">($C$10*C64)/30</f>
        <v>6112.3911279937056</v>
      </c>
      <c r="D21" s="58" t="s">
        <v>73</v>
      </c>
      <c r="E21" s="43">
        <v>739773.16144199995</v>
      </c>
      <c r="F21" s="43">
        <v>473.36511765300003</v>
      </c>
      <c r="G21" s="43">
        <v>139868.50947600001</v>
      </c>
      <c r="H21" s="43">
        <v>599431.28684900003</v>
      </c>
      <c r="I21" s="43">
        <v>452.491002821</v>
      </c>
      <c r="J21" s="44">
        <v>10528.933608900001</v>
      </c>
      <c r="K21" s="35">
        <f t="shared" si="1"/>
        <v>588449.86223662586</v>
      </c>
      <c r="L21" s="36">
        <f t="shared" si="2"/>
        <v>1.4553538697112858E-2</v>
      </c>
      <c r="M21" s="45">
        <v>66123</v>
      </c>
      <c r="N21" s="38">
        <f t="shared" si="3"/>
        <v>1.1587324896863118E-2</v>
      </c>
      <c r="O21" s="38">
        <f t="shared" si="4"/>
        <v>40.437489299876844</v>
      </c>
      <c r="P21" s="38">
        <f t="shared" si="5"/>
        <v>1.4081973182287044E-2</v>
      </c>
      <c r="Q21" s="76">
        <v>106343.32475499999</v>
      </c>
      <c r="R21" s="43">
        <v>2114.93320649</v>
      </c>
      <c r="S21" s="39">
        <f t="shared" si="6"/>
        <v>2.3230337052752452E-2</v>
      </c>
      <c r="T21" s="40">
        <f t="shared" si="7"/>
        <v>176286.6011524332</v>
      </c>
      <c r="U21" s="28">
        <f t="shared" si="8"/>
        <v>172544.6287242973</v>
      </c>
      <c r="V21" s="28" t="e">
        <f>(#REF!*$C$13)+$B$34</f>
        <v>#REF!</v>
      </c>
      <c r="W21" s="28" t="e">
        <f t="shared" si="9"/>
        <v>#REF!</v>
      </c>
      <c r="X21" s="28" t="e">
        <f t="shared" si="10"/>
        <v>#REF!</v>
      </c>
      <c r="Y21" s="28" t="e">
        <f t="shared" si="11"/>
        <v>#REF!</v>
      </c>
      <c r="Z21" s="28" t="e">
        <f t="shared" si="12"/>
        <v>#REF!</v>
      </c>
      <c r="AA21" s="16" t="e">
        <f t="shared" si="0"/>
        <v>#REF!</v>
      </c>
      <c r="AE21" s="41" t="e" cm="1">
        <f t="array" ref="AE21">_xlfn.IFS($V21&gt;$W$3,($W$3+$Y$101),$V21&lt;$X$3,($V21+$X21+$Y$101), $V21&lt;$W$3,$V21+$Y$101,$V21&gt;$X$3,$V21+$Y$101)</f>
        <v>#REF!</v>
      </c>
      <c r="AF21" s="41">
        <v>294646.97303310683</v>
      </c>
      <c r="AG21" s="41">
        <v>308651.32035777019</v>
      </c>
      <c r="AH21" s="41">
        <v>324517.22078791831</v>
      </c>
      <c r="AI21" s="41">
        <v>254208.84022269386</v>
      </c>
      <c r="AJ21" s="41">
        <v>264822.85053359123</v>
      </c>
      <c r="AK21" s="41">
        <v>258030.04850387565</v>
      </c>
      <c r="AL21" s="41">
        <v>251237.24647416003</v>
      </c>
      <c r="AM21" s="41">
        <v>247840.84545930225</v>
      </c>
      <c r="AN21" s="41"/>
      <c r="AO21" s="58" t="s">
        <v>73</v>
      </c>
      <c r="AP21" s="41">
        <f t="shared" si="13"/>
        <v>294646.97303310683</v>
      </c>
      <c r="AR21" s="41"/>
    </row>
    <row r="22" spans="1:44" x14ac:dyDescent="0.3">
      <c r="A22" s="89" t="s">
        <v>74</v>
      </c>
      <c r="B22" s="101"/>
      <c r="C22" s="106">
        <f t="shared" si="15"/>
        <v>41632.751572960668</v>
      </c>
      <c r="D22" s="57" t="s">
        <v>75</v>
      </c>
      <c r="E22" s="33">
        <v>374993.135694</v>
      </c>
      <c r="F22" s="33">
        <v>771.48586276100002</v>
      </c>
      <c r="G22" s="33">
        <v>18818.657893399999</v>
      </c>
      <c r="H22" s="33">
        <v>355402.99193700001</v>
      </c>
      <c r="I22" s="33">
        <v>0</v>
      </c>
      <c r="J22" s="34">
        <v>20927.889588999999</v>
      </c>
      <c r="K22" s="35">
        <f t="shared" si="1"/>
        <v>334475.10234883905</v>
      </c>
      <c r="L22" s="36">
        <f t="shared" si="2"/>
        <v>8.2722363580011987E-3</v>
      </c>
      <c r="M22" s="37">
        <v>439882</v>
      </c>
      <c r="N22" s="38">
        <f t="shared" si="3"/>
        <v>7.7084458513405951E-2</v>
      </c>
      <c r="O22" s="38">
        <f t="shared" si="4"/>
        <v>76.052249389292427</v>
      </c>
      <c r="P22" s="38">
        <f t="shared" si="5"/>
        <v>2.6484476531432034E-2</v>
      </c>
      <c r="Q22" s="76">
        <v>10718.478957400001</v>
      </c>
      <c r="R22" s="33">
        <v>656.956311379</v>
      </c>
      <c r="S22" s="39">
        <f t="shared" si="6"/>
        <v>7.2159803890900417E-3</v>
      </c>
      <c r="T22" s="40">
        <f t="shared" si="7"/>
        <v>185468.4026674832</v>
      </c>
      <c r="U22" s="28">
        <f t="shared" si="8"/>
        <v>261368.37564044405</v>
      </c>
      <c r="V22" s="28" t="e">
        <f>(#REF!*$C$13)+$B$34</f>
        <v>#REF!</v>
      </c>
      <c r="W22" s="28" t="e">
        <f t="shared" si="9"/>
        <v>#REF!</v>
      </c>
      <c r="X22" s="28" t="e">
        <f t="shared" si="10"/>
        <v>#REF!</v>
      </c>
      <c r="Y22" s="28" t="e">
        <f t="shared" si="11"/>
        <v>#REF!</v>
      </c>
      <c r="Z22" s="28" t="e">
        <f t="shared" si="12"/>
        <v>#REF!</v>
      </c>
      <c r="AA22" s="16" t="e">
        <f t="shared" si="0"/>
        <v>#REF!</v>
      </c>
      <c r="AE22" s="41" t="e" cm="1">
        <f t="array" ref="AE22">_xlfn.IFS($V22&gt;$W$3,($W$3+$Y$101),$V22&lt;$X$3,($V22+$X22+$Y$101), $V22&lt;$W$3,$V22+$Y$101,$V22&gt;$X$3,$V22+$Y$101)</f>
        <v>#REF!</v>
      </c>
      <c r="AF22" s="41">
        <v>269874.80711704888</v>
      </c>
      <c r="AG22" s="41">
        <v>283879.15444171231</v>
      </c>
      <c r="AH22" s="41">
        <v>299745.05487186037</v>
      </c>
      <c r="AI22" s="41">
        <v>530742.7714918335</v>
      </c>
      <c r="AJ22" s="41">
        <v>227664.60165950435</v>
      </c>
      <c r="AK22" s="41">
        <v>233257.88258781773</v>
      </c>
      <c r="AL22" s="41">
        <v>238851.16351613108</v>
      </c>
      <c r="AM22" s="41">
        <v>241647.80398028775</v>
      </c>
      <c r="AN22" s="41"/>
      <c r="AO22" s="57" t="s">
        <v>75</v>
      </c>
      <c r="AP22" s="41">
        <f t="shared" si="13"/>
        <v>269874.80711704888</v>
      </c>
      <c r="AR22" s="41"/>
    </row>
    <row r="23" spans="1:44" x14ac:dyDescent="0.3">
      <c r="A23" s="89"/>
      <c r="B23" s="101"/>
      <c r="C23" s="106"/>
      <c r="D23" s="58" t="s">
        <v>76</v>
      </c>
      <c r="E23" s="43">
        <v>281161.25852700003</v>
      </c>
      <c r="F23" s="43">
        <v>0</v>
      </c>
      <c r="G23" s="43">
        <v>1736.7554483700001</v>
      </c>
      <c r="H23" s="43">
        <v>279424.50307799998</v>
      </c>
      <c r="I23" s="43">
        <v>0</v>
      </c>
      <c r="J23" s="44">
        <v>894.29753014999994</v>
      </c>
      <c r="K23" s="35">
        <f t="shared" si="1"/>
        <v>278530.20554848004</v>
      </c>
      <c r="L23" s="36">
        <f t="shared" si="2"/>
        <v>6.8886074836645647E-3</v>
      </c>
      <c r="M23" s="45">
        <v>20867</v>
      </c>
      <c r="N23" s="38">
        <f t="shared" si="3"/>
        <v>3.6567111084319023E-3</v>
      </c>
      <c r="O23" s="38">
        <f t="shared" si="4"/>
        <v>27.530874415045947</v>
      </c>
      <c r="P23" s="38">
        <f t="shared" si="5"/>
        <v>9.5873666221599537E-3</v>
      </c>
      <c r="Q23" s="76">
        <v>82.221572785800006</v>
      </c>
      <c r="R23" s="43">
        <v>261.13021242299999</v>
      </c>
      <c r="S23" s="39">
        <f t="shared" si="6"/>
        <v>2.8682432289720717E-3</v>
      </c>
      <c r="T23" s="40">
        <f t="shared" si="7"/>
        <v>158047.29449207013</v>
      </c>
      <c r="U23" s="28">
        <f t="shared" si="8"/>
        <v>149151.31122147804</v>
      </c>
      <c r="V23" s="28" t="e">
        <f>(#REF!*$C$13)+$B$34</f>
        <v>#REF!</v>
      </c>
      <c r="W23" s="28" t="e">
        <f t="shared" si="9"/>
        <v>#REF!</v>
      </c>
      <c r="X23" s="28" t="e">
        <f t="shared" si="10"/>
        <v>#REF!</v>
      </c>
      <c r="Y23" s="28" t="e">
        <f t="shared" si="11"/>
        <v>#REF!</v>
      </c>
      <c r="Z23" s="28" t="e">
        <f t="shared" si="12"/>
        <v>#REF!</v>
      </c>
      <c r="AA23" s="16" t="e">
        <f t="shared" si="0"/>
        <v>#REF!</v>
      </c>
      <c r="AE23" s="41" t="e" cm="1">
        <f t="array" ref="AE23">_xlfn.IFS($V23&gt;$W$3,($W$3+$Y$101),$V23&lt;$X$3,($V23+$X23+$Y$101), $V23&lt;$W$3,$V23+$Y$101,$V23&gt;$X$3,$V23+$Y$101)</f>
        <v>#REF!</v>
      </c>
      <c r="AF23" s="41">
        <v>209624.20041897029</v>
      </c>
      <c r="AG23" s="41">
        <v>206883.04662076943</v>
      </c>
      <c r="AH23" s="41">
        <v>209479.14559628523</v>
      </c>
      <c r="AI23" s="41">
        <v>202024.66185714235</v>
      </c>
      <c r="AJ23" s="41">
        <v>215433.48459131373</v>
      </c>
      <c r="AK23" s="41">
        <v>225103.80454235731</v>
      </c>
      <c r="AL23" s="41">
        <v>234774.12449340089</v>
      </c>
      <c r="AM23" s="41">
        <v>239609.28446892265</v>
      </c>
      <c r="AN23" s="41"/>
      <c r="AO23" s="58" t="s">
        <v>76</v>
      </c>
      <c r="AP23" s="41">
        <f t="shared" si="13"/>
        <v>209624.20041897029</v>
      </c>
      <c r="AR23" s="41"/>
    </row>
    <row r="24" spans="1:44" x14ac:dyDescent="0.3">
      <c r="A24" s="89"/>
      <c r="B24" s="89"/>
      <c r="C24" s="106"/>
      <c r="D24" s="57" t="s">
        <v>77</v>
      </c>
      <c r="E24" s="33">
        <v>460981.87797799997</v>
      </c>
      <c r="F24" s="33">
        <v>11485.263692299999</v>
      </c>
      <c r="G24" s="33">
        <v>8368.9523228599992</v>
      </c>
      <c r="H24" s="33">
        <v>441127.66196300002</v>
      </c>
      <c r="I24" s="33">
        <v>0</v>
      </c>
      <c r="J24" s="34">
        <v>2675.8737541599999</v>
      </c>
      <c r="K24" s="35">
        <f t="shared" si="1"/>
        <v>438451.78820867994</v>
      </c>
      <c r="L24" s="36">
        <f t="shared" si="2"/>
        <v>1.0843787170345932E-2</v>
      </c>
      <c r="M24" s="37">
        <v>39006</v>
      </c>
      <c r="N24" s="38">
        <f t="shared" si="3"/>
        <v>6.835370369267014E-3</v>
      </c>
      <c r="O24" s="38">
        <f t="shared" si="4"/>
        <v>33.913853423756834</v>
      </c>
      <c r="P24" s="38">
        <f t="shared" si="5"/>
        <v>1.1810178690367205E-2</v>
      </c>
      <c r="Q24" s="76">
        <v>61162.1838221</v>
      </c>
      <c r="R24" s="33">
        <v>1469.1209127899999</v>
      </c>
      <c r="S24" s="39">
        <f t="shared" si="6"/>
        <v>1.6136762083375236E-2</v>
      </c>
      <c r="T24" s="40">
        <f t="shared" si="7"/>
        <v>167314.28212440305</v>
      </c>
      <c r="U24" s="28">
        <f t="shared" si="8"/>
        <v>159852.06964275276</v>
      </c>
      <c r="V24" s="28" t="e">
        <f>(#REF!*$C$13)+$B$34</f>
        <v>#REF!</v>
      </c>
      <c r="W24" s="28" t="e">
        <f t="shared" si="9"/>
        <v>#REF!</v>
      </c>
      <c r="X24" s="28" t="e">
        <f t="shared" si="10"/>
        <v>#REF!</v>
      </c>
      <c r="Y24" s="28" t="e">
        <f t="shared" si="11"/>
        <v>#REF!</v>
      </c>
      <c r="Z24" s="28" t="e">
        <f t="shared" si="12"/>
        <v>#REF!</v>
      </c>
      <c r="AA24" s="16" t="e">
        <f t="shared" si="0"/>
        <v>#REF!</v>
      </c>
      <c r="AE24" s="41" t="e" cm="1">
        <f t="array" ref="AE24">_xlfn.IFS($V24&gt;$W$3,($W$3+$Y$101),$V24&lt;$X$3,($V24+$X24+$Y$101), $V24&lt;$W$3,$V24+$Y$101,$V24&gt;$X$3,$V24+$Y$101)</f>
        <v>#REF!</v>
      </c>
      <c r="AF24" s="41">
        <v>278686.22383184888</v>
      </c>
      <c r="AG24" s="41">
        <v>229975.42356831371</v>
      </c>
      <c r="AH24" s="41">
        <v>232637.09532379959</v>
      </c>
      <c r="AI24" s="41">
        <v>224617.74688723159</v>
      </c>
      <c r="AJ24" s="41">
        <v>240881.72673170432</v>
      </c>
      <c r="AK24" s="41">
        <v>242069.2993026177</v>
      </c>
      <c r="AL24" s="41">
        <v>243256.87187353105</v>
      </c>
      <c r="AM24" s="41">
        <v>243850.65815898776</v>
      </c>
      <c r="AN24" s="41"/>
      <c r="AO24" s="57" t="s">
        <v>77</v>
      </c>
      <c r="AP24" s="41">
        <f t="shared" si="13"/>
        <v>278686.22383184888</v>
      </c>
      <c r="AR24" s="41"/>
    </row>
    <row r="25" spans="1:44" ht="15" thickBot="1" x14ac:dyDescent="0.35">
      <c r="A25" s="79"/>
      <c r="B25" s="79"/>
      <c r="C25" s="79"/>
      <c r="D25" s="58" t="s">
        <v>78</v>
      </c>
      <c r="E25" s="43">
        <v>461735.76986499998</v>
      </c>
      <c r="F25" s="43">
        <v>1015.50377324</v>
      </c>
      <c r="G25" s="43">
        <v>5259.9919886600001</v>
      </c>
      <c r="H25" s="43">
        <v>455460.274103</v>
      </c>
      <c r="I25" s="43">
        <v>0</v>
      </c>
      <c r="J25" s="44">
        <v>2501.7672998200001</v>
      </c>
      <c r="K25" s="35">
        <f t="shared" si="1"/>
        <v>452958.50680327992</v>
      </c>
      <c r="L25" s="36">
        <f t="shared" si="2"/>
        <v>1.1202567253379992E-2</v>
      </c>
      <c r="M25" s="45">
        <v>13921</v>
      </c>
      <c r="N25" s="38">
        <f t="shared" si="3"/>
        <v>2.4395013821095755E-3</v>
      </c>
      <c r="O25" s="38">
        <f t="shared" si="4"/>
        <v>24.05600347472814</v>
      </c>
      <c r="P25" s="38">
        <f t="shared" si="5"/>
        <v>8.3772756832644728E-3</v>
      </c>
      <c r="Q25" s="76">
        <v>5924.8497603899996</v>
      </c>
      <c r="R25" s="43">
        <v>548.64988740900003</v>
      </c>
      <c r="S25" s="39">
        <f t="shared" si="6"/>
        <v>6.0263472006372399E-3</v>
      </c>
      <c r="T25" s="40">
        <f t="shared" si="7"/>
        <v>162703.09773830004</v>
      </c>
      <c r="U25" s="28">
        <f t="shared" si="8"/>
        <v>153796.43628656771</v>
      </c>
      <c r="V25" s="28" t="e">
        <f>(#REF!*$C$13)+$B$34</f>
        <v>#REF!</v>
      </c>
      <c r="W25" s="28" t="e">
        <f t="shared" si="9"/>
        <v>#REF!</v>
      </c>
      <c r="X25" s="28" t="e">
        <f t="shared" si="10"/>
        <v>#REF!</v>
      </c>
      <c r="Y25" s="28" t="e">
        <f t="shared" si="11"/>
        <v>#REF!</v>
      </c>
      <c r="Z25" s="28" t="e">
        <f t="shared" si="12"/>
        <v>#REF!</v>
      </c>
      <c r="AA25" s="16" t="e">
        <f t="shared" si="0"/>
        <v>#REF!</v>
      </c>
      <c r="AE25" s="41" t="e" cm="1">
        <f t="array" ref="AE25">_xlfn.IFS($V25&gt;$W$3,($W$3+$Y$101),$V25&lt;$X$3,($V25+$X25+$Y$101), $V25&lt;$W$3,$V25+$Y$101,$V25&gt;$X$3,$V25+$Y$101)</f>
        <v>#REF!</v>
      </c>
      <c r="AF25" s="41">
        <v>222470.94352063039</v>
      </c>
      <c r="AG25" s="41">
        <v>225387.50600488673</v>
      </c>
      <c r="AH25" s="41">
        <v>224123.49262314875</v>
      </c>
      <c r="AI25" s="41">
        <v>205860.33511972972</v>
      </c>
      <c r="AJ25" s="41">
        <v>243190.17366748967</v>
      </c>
      <c r="AK25" s="41">
        <v>243608.26392647461</v>
      </c>
      <c r="AL25" s="41">
        <v>244026.35418545952</v>
      </c>
      <c r="AM25" s="41">
        <v>244235.399314952</v>
      </c>
      <c r="AN25" s="41"/>
      <c r="AO25" s="58" t="s">
        <v>78</v>
      </c>
      <c r="AP25" s="41">
        <f t="shared" si="13"/>
        <v>222470.94352063039</v>
      </c>
      <c r="AR25" s="41"/>
    </row>
    <row r="26" spans="1:44" x14ac:dyDescent="0.3">
      <c r="A26" s="84" t="s">
        <v>79</v>
      </c>
      <c r="B26" s="102"/>
      <c r="C26" s="107" t="s">
        <v>68</v>
      </c>
      <c r="D26" s="32" t="s">
        <v>80</v>
      </c>
      <c r="E26" s="33">
        <v>551430.30015999998</v>
      </c>
      <c r="F26" s="33">
        <v>0</v>
      </c>
      <c r="G26" s="33">
        <v>18814.085064499999</v>
      </c>
      <c r="H26" s="33">
        <v>532616.215096</v>
      </c>
      <c r="I26" s="33">
        <v>0</v>
      </c>
      <c r="J26" s="34">
        <v>2166.1704418200002</v>
      </c>
      <c r="K26" s="35">
        <f t="shared" si="1"/>
        <v>530450.04465367994</v>
      </c>
      <c r="L26" s="36">
        <f t="shared" si="2"/>
        <v>1.3119087533490253E-2</v>
      </c>
      <c r="M26" s="37">
        <v>21228</v>
      </c>
      <c r="N26" s="38">
        <f t="shared" si="3"/>
        <v>3.7199723683228264E-3</v>
      </c>
      <c r="O26" s="38">
        <f t="shared" si="4"/>
        <v>27.688729357198977</v>
      </c>
      <c r="P26" s="38">
        <f t="shared" si="5"/>
        <v>9.6423381127390493E-3</v>
      </c>
      <c r="Q26" s="76">
        <v>1.5366154142099999</v>
      </c>
      <c r="R26" s="33">
        <v>638.752873464</v>
      </c>
      <c r="S26" s="39">
        <f t="shared" si="6"/>
        <v>7.0160345955365367E-3</v>
      </c>
      <c r="T26" s="40">
        <f t="shared" si="7"/>
        <v>167475.47180267729</v>
      </c>
      <c r="U26" s="28">
        <f t="shared" si="8"/>
        <v>158591.92318605297</v>
      </c>
      <c r="V26" s="28" t="e">
        <f>(#REF!*$C$13)+$B$34</f>
        <v>#REF!</v>
      </c>
      <c r="W26" s="28" t="e">
        <f t="shared" si="9"/>
        <v>#REF!</v>
      </c>
      <c r="X26" s="28" t="e">
        <f t="shared" si="10"/>
        <v>#REF!</v>
      </c>
      <c r="Y26" s="28" t="e">
        <f t="shared" si="11"/>
        <v>#REF!</v>
      </c>
      <c r="Z26" s="28" t="e">
        <f t="shared" si="12"/>
        <v>#REF!</v>
      </c>
      <c r="AA26" s="16" t="e">
        <f t="shared" si="0"/>
        <v>#REF!</v>
      </c>
      <c r="AE26" s="41" t="e" cm="1">
        <f t="array" ref="AE26">_xlfn.IFS($V26&gt;$W$3,($W$3+$Y$101),$V26&lt;$X$3,($V26+$X26+$Y$101), $V26&lt;$W$3,$V26+$Y$101,$V26&gt;$X$3,$V26+$Y$101)</f>
        <v>#REF!</v>
      </c>
      <c r="AF26" s="41">
        <v>236349.45312876964</v>
      </c>
      <c r="AG26" s="41">
        <v>233608.29933056879</v>
      </c>
      <c r="AH26" s="41">
        <v>236204.39830608459</v>
      </c>
      <c r="AI26" s="41">
        <v>215646.32079961707</v>
      </c>
      <c r="AJ26" s="41">
        <v>255521.36365601275</v>
      </c>
      <c r="AK26" s="41">
        <v>251829.05725215666</v>
      </c>
      <c r="AL26" s="41">
        <v>248136.75084830055</v>
      </c>
      <c r="AM26" s="41">
        <v>246290.59764637251</v>
      </c>
      <c r="AN26" s="41"/>
      <c r="AO26" s="32" t="s">
        <v>80</v>
      </c>
      <c r="AP26" s="41">
        <f t="shared" si="13"/>
        <v>236349.45312876964</v>
      </c>
      <c r="AR26" s="41"/>
    </row>
    <row r="27" spans="1:44" x14ac:dyDescent="0.3">
      <c r="A27" s="86" t="s">
        <v>81</v>
      </c>
      <c r="B27" s="103">
        <v>0.9</v>
      </c>
      <c r="C27" s="108">
        <v>30000</v>
      </c>
      <c r="D27" s="42" t="s">
        <v>82</v>
      </c>
      <c r="E27" s="43">
        <v>461958.676714</v>
      </c>
      <c r="F27" s="43">
        <v>2289.2343516400001</v>
      </c>
      <c r="G27" s="43">
        <v>4885.28834198</v>
      </c>
      <c r="H27" s="43">
        <v>454784.15402000002</v>
      </c>
      <c r="I27" s="43">
        <v>0</v>
      </c>
      <c r="J27" s="44">
        <v>2607.1759016400001</v>
      </c>
      <c r="K27" s="35">
        <f t="shared" si="1"/>
        <v>452176.97811874002</v>
      </c>
      <c r="L27" s="36">
        <f t="shared" si="2"/>
        <v>1.1183238490331048E-2</v>
      </c>
      <c r="M27" s="45">
        <v>30895</v>
      </c>
      <c r="N27" s="38">
        <f t="shared" si="3"/>
        <v>5.4140072696124801E-3</v>
      </c>
      <c r="O27" s="38">
        <f t="shared" si="4"/>
        <v>31.378299203864437</v>
      </c>
      <c r="P27" s="38">
        <f t="shared" si="5"/>
        <v>1.0927195915102069E-2</v>
      </c>
      <c r="Q27" s="76">
        <v>13062.9276164</v>
      </c>
      <c r="R27" s="43">
        <v>385.54900409999999</v>
      </c>
      <c r="S27" s="39">
        <f t="shared" si="6"/>
        <v>4.2348539840936037E-3</v>
      </c>
      <c r="T27" s="40">
        <f t="shared" si="7"/>
        <v>166498.98494148301</v>
      </c>
      <c r="U27" s="28">
        <f t="shared" si="8"/>
        <v>158229.20197324862</v>
      </c>
      <c r="V27" s="28" t="e">
        <f>(#REF!*$C$13)+$B$34</f>
        <v>#REF!</v>
      </c>
      <c r="W27" s="28" t="e">
        <f t="shared" si="9"/>
        <v>#REF!</v>
      </c>
      <c r="X27" s="28" t="e">
        <f t="shared" si="10"/>
        <v>#REF!</v>
      </c>
      <c r="Y27" s="28" t="e">
        <f t="shared" si="11"/>
        <v>#REF!</v>
      </c>
      <c r="Z27" s="28" t="e">
        <f t="shared" si="12"/>
        <v>#REF!</v>
      </c>
      <c r="AA27" s="16" t="e">
        <f t="shared" si="0"/>
        <v>#REF!</v>
      </c>
      <c r="AE27" s="41" t="e" cm="1">
        <f t="array" ref="AE27">_xlfn.IFS($V27&gt;$W$3,($W$3+$Y$101),$V27&lt;$X$3,($V27+$X27+$Y$101), $V27&lt;$W$3,$V27+$Y$101,$V27&gt;$X$3,$V27+$Y$101)</f>
        <v>#REF!</v>
      </c>
      <c r="AF27" s="41">
        <v>228045.75028842423</v>
      </c>
      <c r="AG27" s="41">
        <v>231431.47867750726</v>
      </c>
      <c r="AH27" s="41">
        <v>234093.15043299313</v>
      </c>
      <c r="AI27" s="41">
        <v>218801.3469539574</v>
      </c>
      <c r="AJ27" s="41">
        <v>243065.80939549464</v>
      </c>
      <c r="AK27" s="41">
        <v>243525.35441181125</v>
      </c>
      <c r="AL27" s="41">
        <v>243984.89942812786</v>
      </c>
      <c r="AM27" s="41">
        <v>244214.67193628615</v>
      </c>
      <c r="AN27" s="41"/>
      <c r="AO27" s="42" t="s">
        <v>82</v>
      </c>
      <c r="AP27" s="41">
        <f t="shared" si="13"/>
        <v>228045.75028842423</v>
      </c>
      <c r="AR27" s="41"/>
    </row>
    <row r="28" spans="1:44" x14ac:dyDescent="0.3">
      <c r="A28" s="86"/>
      <c r="B28" s="103">
        <v>0.45</v>
      </c>
      <c r="C28" s="108">
        <v>25000</v>
      </c>
      <c r="D28" s="32" t="s">
        <v>83</v>
      </c>
      <c r="E28" s="33">
        <v>499153.518086</v>
      </c>
      <c r="F28" s="33">
        <v>3757.4170141999998</v>
      </c>
      <c r="G28" s="33">
        <v>12688.897590799999</v>
      </c>
      <c r="H28" s="33">
        <v>482707.20348099997</v>
      </c>
      <c r="I28" s="33">
        <v>1981.33424356</v>
      </c>
      <c r="J28" s="34">
        <v>3628.7421117700001</v>
      </c>
      <c r="K28" s="35">
        <f t="shared" si="1"/>
        <v>477097.12712566997</v>
      </c>
      <c r="L28" s="36">
        <f t="shared" si="2"/>
        <v>1.179956347600049E-2</v>
      </c>
      <c r="M28" s="37">
        <v>47582</v>
      </c>
      <c r="N28" s="38">
        <f t="shared" si="3"/>
        <v>8.3382195793073651E-3</v>
      </c>
      <c r="O28" s="38">
        <f t="shared" si="4"/>
        <v>36.236610195469893</v>
      </c>
      <c r="P28" s="38">
        <f t="shared" si="5"/>
        <v>1.261905676698752E-2</v>
      </c>
      <c r="Q28" s="76">
        <v>14059.235406899999</v>
      </c>
      <c r="R28" s="33">
        <v>720.77580351100005</v>
      </c>
      <c r="S28" s="39">
        <f t="shared" si="6"/>
        <v>7.9169709963642643E-3</v>
      </c>
      <c r="T28" s="40">
        <f t="shared" si="7"/>
        <v>169961.26369781536</v>
      </c>
      <c r="U28" s="28">
        <f t="shared" si="8"/>
        <v>163540.00791629512</v>
      </c>
      <c r="V28" s="28" t="e">
        <f>(#REF!*$C$13)+$B$34</f>
        <v>#REF!</v>
      </c>
      <c r="W28" s="28" t="e">
        <f t="shared" si="9"/>
        <v>#REF!</v>
      </c>
      <c r="X28" s="28" t="e">
        <f t="shared" si="10"/>
        <v>#REF!</v>
      </c>
      <c r="Y28" s="28" t="e">
        <f t="shared" si="11"/>
        <v>#REF!</v>
      </c>
      <c r="Z28" s="28" t="e">
        <f t="shared" si="12"/>
        <v>#REF!</v>
      </c>
      <c r="AA28" s="16" t="e">
        <f t="shared" si="0"/>
        <v>#REF!</v>
      </c>
      <c r="AE28" s="41" t="e" cm="1">
        <f t="array" ref="AE28">_xlfn.IFS($V28&gt;$W$3,($W$3+$Y$101),$V28&lt;$X$3,($V28+$X28+$Y$101), $V28&lt;$W$3,$V28+$Y$101,$V28&gt;$X$3,$V28+$Y$101)</f>
        <v>#REF!</v>
      </c>
      <c r="AF28" s="41">
        <v>282996.15873348527</v>
      </c>
      <c r="AG28" s="41">
        <v>297000.50605814863</v>
      </c>
      <c r="AH28" s="41">
        <v>236947.03022543597</v>
      </c>
      <c r="AI28" s="41">
        <v>233502.93603308027</v>
      </c>
      <c r="AJ28" s="41">
        <v>247346.62908415886</v>
      </c>
      <c r="AK28" s="41">
        <v>246379.23420425408</v>
      </c>
      <c r="AL28" s="41">
        <v>245411.83932434925</v>
      </c>
      <c r="AM28" s="41">
        <v>244928.14188439684</v>
      </c>
      <c r="AN28" s="41"/>
      <c r="AO28" s="32" t="s">
        <v>83</v>
      </c>
      <c r="AP28" s="41">
        <f t="shared" si="13"/>
        <v>282996.15873348527</v>
      </c>
      <c r="AR28" s="41"/>
    </row>
    <row r="29" spans="1:44" ht="15" thickBot="1" x14ac:dyDescent="0.35">
      <c r="A29" s="91" t="s">
        <v>84</v>
      </c>
      <c r="B29" s="104">
        <v>0.02</v>
      </c>
      <c r="C29" s="109">
        <v>20000</v>
      </c>
      <c r="D29" s="42" t="s">
        <v>85</v>
      </c>
      <c r="E29" s="43">
        <v>368477.65034599998</v>
      </c>
      <c r="F29" s="43">
        <v>11140.550071400001</v>
      </c>
      <c r="G29" s="43">
        <v>3788.0529757600002</v>
      </c>
      <c r="H29" s="43">
        <v>353549.04729900003</v>
      </c>
      <c r="I29" s="43">
        <v>0</v>
      </c>
      <c r="J29" s="44">
        <v>1525.45456021</v>
      </c>
      <c r="K29" s="35">
        <f t="shared" si="1"/>
        <v>352023.59273862996</v>
      </c>
      <c r="L29" s="36">
        <f t="shared" si="2"/>
        <v>8.7062455240379099E-3</v>
      </c>
      <c r="M29" s="45">
        <v>6074</v>
      </c>
      <c r="N29" s="38">
        <f t="shared" si="3"/>
        <v>1.0644013644805375E-3</v>
      </c>
      <c r="O29" s="38">
        <f t="shared" si="4"/>
        <v>18.245604746266761</v>
      </c>
      <c r="P29" s="38">
        <f t="shared" si="5"/>
        <v>6.3538592820677484E-3</v>
      </c>
      <c r="Q29" s="76">
        <v>22885.385386999998</v>
      </c>
      <c r="R29" s="43">
        <v>821.18042284700005</v>
      </c>
      <c r="S29" s="39">
        <f t="shared" si="6"/>
        <v>9.0198110963121761E-3</v>
      </c>
      <c r="T29" s="40">
        <f t="shared" si="7"/>
        <v>155923.49054249184</v>
      </c>
      <c r="U29" s="28">
        <f t="shared" si="8"/>
        <v>147989.30366611102</v>
      </c>
      <c r="V29" s="28" t="e">
        <f>(#REF!*$C$13)+$B$34</f>
        <v>#REF!</v>
      </c>
      <c r="W29" s="28" t="e">
        <f t="shared" si="9"/>
        <v>#REF!</v>
      </c>
      <c r="X29" s="28" t="e">
        <f t="shared" si="10"/>
        <v>#REF!</v>
      </c>
      <c r="Y29" s="28" t="e">
        <f t="shared" si="11"/>
        <v>#REF!</v>
      </c>
      <c r="Z29" s="28" t="e">
        <f t="shared" si="12"/>
        <v>#REF!</v>
      </c>
      <c r="AA29" s="16" t="e">
        <f t="shared" si="0"/>
        <v>#REF!</v>
      </c>
      <c r="AE29" s="41" t="e" cm="1">
        <f t="array" ref="AE29">_xlfn.IFS($V29&gt;$W$3,($W$3+$Y$101),$V29&lt;$X$3,($V29+$X29+$Y$101), $V29&lt;$W$3,$V29+$Y$101,$V29&gt;$X$3,$V29+$Y$101)</f>
        <v>#REF!</v>
      </c>
      <c r="AF29" s="41">
        <v>211763.12830766026</v>
      </c>
      <c r="AG29" s="41">
        <v>211275.78296524551</v>
      </c>
      <c r="AH29" s="41">
        <v>210954.9106576778</v>
      </c>
      <c r="AI29" s="41">
        <v>194527.09195005376</v>
      </c>
      <c r="AJ29" s="41">
        <v>227128.45084803447</v>
      </c>
      <c r="AK29" s="41">
        <v>232900.44871350448</v>
      </c>
      <c r="AL29" s="41">
        <v>238672.44657897446</v>
      </c>
      <c r="AM29" s="41">
        <v>241558.44551170943</v>
      </c>
      <c r="AN29" s="41"/>
      <c r="AO29" s="42" t="s">
        <v>85</v>
      </c>
      <c r="AP29" s="41">
        <f t="shared" si="13"/>
        <v>211763.12830766026</v>
      </c>
      <c r="AR29" s="41"/>
    </row>
    <row r="30" spans="1:44" x14ac:dyDescent="0.3">
      <c r="D30" s="32" t="s">
        <v>86</v>
      </c>
      <c r="E30" s="33">
        <v>388078.86310900003</v>
      </c>
      <c r="F30" s="33">
        <v>2354.3552102100002</v>
      </c>
      <c r="G30" s="33">
        <v>3128.2643112199999</v>
      </c>
      <c r="H30" s="33">
        <v>382596.243587</v>
      </c>
      <c r="I30" s="33">
        <v>0.86728596773900002</v>
      </c>
      <c r="J30" s="34">
        <v>50328.908109000004</v>
      </c>
      <c r="K30" s="35">
        <f t="shared" si="1"/>
        <v>332266.46819260227</v>
      </c>
      <c r="L30" s="36">
        <f t="shared" si="2"/>
        <v>8.217612430419019E-3</v>
      </c>
      <c r="M30" s="37">
        <v>1281565</v>
      </c>
      <c r="N30" s="38">
        <f t="shared" si="3"/>
        <v>0.22458010119698715</v>
      </c>
      <c r="O30" s="38">
        <f t="shared" si="4"/>
        <v>108.62093730377389</v>
      </c>
      <c r="P30" s="38">
        <f t="shared" si="5"/>
        <v>3.7826214056056261E-2</v>
      </c>
      <c r="Q30" s="76">
        <v>38697.943300200001</v>
      </c>
      <c r="R30" s="33">
        <v>1610.5030232900001</v>
      </c>
      <c r="S30" s="39">
        <f t="shared" si="6"/>
        <v>1.7689697216298556E-2</v>
      </c>
      <c r="T30" s="40">
        <f t="shared" si="7"/>
        <v>202399.07306304626</v>
      </c>
      <c r="U30" s="28">
        <f t="shared" si="8"/>
        <v>482529.90377444262</v>
      </c>
      <c r="V30" s="28" t="e">
        <f>(#REF!*$C$13)+$B$34</f>
        <v>#REF!</v>
      </c>
      <c r="W30" s="28" t="e">
        <f t="shared" si="9"/>
        <v>#REF!</v>
      </c>
      <c r="X30" s="28" t="e">
        <f t="shared" si="10"/>
        <v>#REF!</v>
      </c>
      <c r="Y30" s="28" t="e">
        <f t="shared" si="11"/>
        <v>#REF!</v>
      </c>
      <c r="Z30" s="28" t="e">
        <f t="shared" si="12"/>
        <v>#REF!</v>
      </c>
      <c r="AA30" s="16" t="e">
        <f t="shared" si="0"/>
        <v>#REF!</v>
      </c>
      <c r="AE30" s="41" t="e" cm="1">
        <f t="array" ref="AE30">_xlfn.IFS($V30&gt;$W$3,($W$3+$Y$101),$V30&lt;$X$3,($V30+$X30+$Y$101), $V30&lt;$W$3,$V30+$Y$101,$V30&gt;$X$3,$V30+$Y$101)</f>
        <v>#REF!</v>
      </c>
      <c r="AF30" s="41">
        <v>272759.85181212187</v>
      </c>
      <c r="AG30" s="41">
        <v>286764.19913678523</v>
      </c>
      <c r="AH30" s="41">
        <v>302630.09956693335</v>
      </c>
      <c r="AI30" s="41">
        <v>1168494.2196355746</v>
      </c>
      <c r="AJ30" s="41">
        <v>231992.16870211379</v>
      </c>
      <c r="AK30" s="41">
        <v>236142.92728289071</v>
      </c>
      <c r="AL30" s="41">
        <v>240293.68586366758</v>
      </c>
      <c r="AM30" s="41">
        <v>242369.06515405601</v>
      </c>
      <c r="AN30" s="41"/>
      <c r="AO30" s="32" t="s">
        <v>86</v>
      </c>
      <c r="AP30" s="41">
        <f t="shared" si="13"/>
        <v>272759.85181212187</v>
      </c>
      <c r="AR30" s="41"/>
    </row>
    <row r="31" spans="1:44" ht="15" thickBot="1" x14ac:dyDescent="0.35">
      <c r="D31" s="42" t="s">
        <v>87</v>
      </c>
      <c r="E31" s="43">
        <v>639542.87320599996</v>
      </c>
      <c r="F31" s="43">
        <v>50.557563727999998</v>
      </c>
      <c r="G31" s="43">
        <v>231173.607922</v>
      </c>
      <c r="H31" s="43">
        <v>408318.70772000001</v>
      </c>
      <c r="I31" s="43">
        <v>160.20609021499999</v>
      </c>
      <c r="J31" s="44">
        <v>3625.8690701300002</v>
      </c>
      <c r="K31" s="35">
        <f t="shared" si="1"/>
        <v>404532.63255992701</v>
      </c>
      <c r="L31" s="36">
        <f t="shared" si="2"/>
        <v>1.0004898802811543E-2</v>
      </c>
      <c r="M31" s="45">
        <v>21344</v>
      </c>
      <c r="N31" s="38">
        <f t="shared" si="3"/>
        <v>3.740300086182514E-3</v>
      </c>
      <c r="O31" s="38">
        <f t="shared" si="4"/>
        <v>27.739072612333562</v>
      </c>
      <c r="P31" s="38">
        <f t="shared" si="5"/>
        <v>9.6598696751824288E-3</v>
      </c>
      <c r="Q31" s="76">
        <v>49835.884656100003</v>
      </c>
      <c r="R31" s="43">
        <v>1359.5919440099999</v>
      </c>
      <c r="S31" s="39">
        <f t="shared" si="6"/>
        <v>1.4933700514342259E-2</v>
      </c>
      <c r="T31" s="40">
        <f t="shared" si="7"/>
        <v>162830.48605032431</v>
      </c>
      <c r="U31" s="28">
        <f t="shared" si="8"/>
        <v>153951.13166682443</v>
      </c>
      <c r="V31" s="28" t="e">
        <f>(#REF!*$C$13)+$B$34</f>
        <v>#REF!</v>
      </c>
      <c r="W31" s="28" t="e">
        <f t="shared" si="9"/>
        <v>#REF!</v>
      </c>
      <c r="X31" s="28" t="e">
        <f t="shared" si="10"/>
        <v>#REF!</v>
      </c>
      <c r="Y31" s="28" t="e">
        <f t="shared" si="11"/>
        <v>#REF!</v>
      </c>
      <c r="Z31" s="28" t="e">
        <f t="shared" si="12"/>
        <v>#REF!</v>
      </c>
      <c r="AA31" s="16" t="e">
        <f t="shared" si="0"/>
        <v>#REF!</v>
      </c>
      <c r="AE31" s="41" t="e" cm="1">
        <f t="array" ref="AE31">_xlfn.IFS($V31&gt;$W$3,($W$3+$Y$101),$V31&lt;$X$3,($V31+$X31+$Y$101), $V31&lt;$W$3,$V31+$Y$101,$V31&gt;$X$3,$V31+$Y$101)</f>
        <v>#REF!</v>
      </c>
      <c r="AF31" s="41">
        <v>223008.33191155831</v>
      </c>
      <c r="AG31" s="41">
        <v>220267.17811335746</v>
      </c>
      <c r="AH31" s="41">
        <v>222863.27708887326</v>
      </c>
      <c r="AI31" s="41">
        <v>209318.05325316417</v>
      </c>
      <c r="AJ31" s="41">
        <v>235509.68183019577</v>
      </c>
      <c r="AK31" s="41">
        <v>238487.93603494533</v>
      </c>
      <c r="AL31" s="41">
        <v>241466.1902396949</v>
      </c>
      <c r="AM31" s="41">
        <v>242955.31734206967</v>
      </c>
      <c r="AN31" s="41"/>
      <c r="AO31" s="42" t="s">
        <v>87</v>
      </c>
      <c r="AP31" s="41">
        <f t="shared" si="13"/>
        <v>223008.33191155831</v>
      </c>
      <c r="AR31" s="41"/>
    </row>
    <row r="32" spans="1:44" x14ac:dyDescent="0.3">
      <c r="A32" s="46" t="s">
        <v>88</v>
      </c>
      <c r="B32" s="48"/>
      <c r="D32" s="32" t="s">
        <v>89</v>
      </c>
      <c r="E32" s="33">
        <v>288811.07015300001</v>
      </c>
      <c r="F32" s="33">
        <v>0.31458232795899999</v>
      </c>
      <c r="G32" s="33">
        <v>9452.5570639599991</v>
      </c>
      <c r="H32" s="33">
        <v>279358.19850599999</v>
      </c>
      <c r="I32" s="33">
        <v>0</v>
      </c>
      <c r="J32" s="34">
        <v>3487.2771090900001</v>
      </c>
      <c r="K32" s="35">
        <f t="shared" si="1"/>
        <v>275870.92139762203</v>
      </c>
      <c r="L32" s="36">
        <f t="shared" si="2"/>
        <v>6.8228380829393623E-3</v>
      </c>
      <c r="M32" s="37">
        <v>41135</v>
      </c>
      <c r="N32" s="38">
        <f t="shared" si="3"/>
        <v>7.2084540875711079E-3</v>
      </c>
      <c r="O32" s="38">
        <f t="shared" si="4"/>
        <v>34.519977227823404</v>
      </c>
      <c r="P32" s="38">
        <f t="shared" si="5"/>
        <v>1.2021255572285224E-2</v>
      </c>
      <c r="Q32" s="76">
        <v>9118.4826632999993</v>
      </c>
      <c r="R32" s="33">
        <v>557.34364855299998</v>
      </c>
      <c r="S32" s="39">
        <f t="shared" si="6"/>
        <v>6.1218391060134944E-3</v>
      </c>
      <c r="T32" s="40">
        <f t="shared" si="7"/>
        <v>161599.47381617021</v>
      </c>
      <c r="U32" s="28">
        <f t="shared" si="8"/>
        <v>154380.27158909905</v>
      </c>
      <c r="V32" s="28" t="e">
        <f>(#REF!*$C$13)+$B$34</f>
        <v>#REF!</v>
      </c>
      <c r="W32" s="28" t="e">
        <f t="shared" si="9"/>
        <v>#REF!</v>
      </c>
      <c r="X32" s="28" t="e">
        <f t="shared" si="10"/>
        <v>#REF!</v>
      </c>
      <c r="Y32" s="28" t="e">
        <f t="shared" si="11"/>
        <v>#REF!</v>
      </c>
      <c r="Z32" s="28" t="e">
        <f t="shared" si="12"/>
        <v>#REF!</v>
      </c>
      <c r="AA32" s="16" t="e">
        <f t="shared" si="0"/>
        <v>#REF!</v>
      </c>
      <c r="AE32" s="41" t="e" cm="1">
        <f t="array" ref="AE32">_xlfn.IFS($V32&gt;$W$3,($W$3+$Y$101),$V32&lt;$X$3,($V32+$X32+$Y$101), $V32&lt;$W$3,$V32+$Y$101,$V32&gt;$X$3,$V32+$Y$101)</f>
        <v>#REF!</v>
      </c>
      <c r="AF32" s="41">
        <v>261438.61535949944</v>
      </c>
      <c r="AG32" s="41">
        <v>212727.81509596427</v>
      </c>
      <c r="AH32" s="41">
        <v>215389.48685145014</v>
      </c>
      <c r="AI32" s="41">
        <v>218050.78474525409</v>
      </c>
      <c r="AJ32" s="41">
        <v>215010.31402318017</v>
      </c>
      <c r="AK32" s="41">
        <v>224821.69083026826</v>
      </c>
      <c r="AL32" s="41">
        <v>234633.06763735635</v>
      </c>
      <c r="AM32" s="41">
        <v>239538.75604090039</v>
      </c>
      <c r="AN32" s="41"/>
      <c r="AO32" s="32" t="s">
        <v>89</v>
      </c>
      <c r="AP32" s="41">
        <f t="shared" si="13"/>
        <v>261438.61535949944</v>
      </c>
      <c r="AR32" s="41"/>
    </row>
    <row r="33" spans="1:44" x14ac:dyDescent="0.3">
      <c r="A33" s="49" t="s">
        <v>90</v>
      </c>
      <c r="B33" s="52">
        <f>C8</f>
        <v>12000000</v>
      </c>
      <c r="D33" s="42" t="s">
        <v>91</v>
      </c>
      <c r="E33" s="43">
        <v>1872407.2622700001</v>
      </c>
      <c r="F33" s="43">
        <v>288724.365445</v>
      </c>
      <c r="G33" s="43">
        <v>633464.00318300002</v>
      </c>
      <c r="H33" s="43">
        <v>950218.89364400005</v>
      </c>
      <c r="I33" s="43">
        <v>9872.9012738099991</v>
      </c>
      <c r="J33" s="44">
        <v>15496.043267700001</v>
      </c>
      <c r="K33" s="35">
        <f t="shared" si="1"/>
        <v>924849.94910049019</v>
      </c>
      <c r="L33" s="36">
        <f t="shared" si="2"/>
        <v>2.2873383761358428E-2</v>
      </c>
      <c r="M33" s="45">
        <v>45014</v>
      </c>
      <c r="N33" s="38">
        <f t="shared" si="3"/>
        <v>7.8882059632411784E-3</v>
      </c>
      <c r="O33" s="38">
        <f t="shared" si="4"/>
        <v>35.572621292535679</v>
      </c>
      <c r="P33" s="38">
        <f t="shared" si="5"/>
        <v>1.2387828911689287E-2</v>
      </c>
      <c r="Q33" s="76">
        <v>184117.710215</v>
      </c>
      <c r="R33" s="43">
        <v>3887.7775182800001</v>
      </c>
      <c r="S33" s="39">
        <f t="shared" si="6"/>
        <v>4.2703184128280836E-2</v>
      </c>
      <c r="T33" s="40">
        <f t="shared" si="7"/>
        <v>186225.15234290491</v>
      </c>
      <c r="U33" s="28">
        <f t="shared" si="8"/>
        <v>179475.71792023274</v>
      </c>
      <c r="V33" s="28" t="e">
        <f>(#REF!*$C$13)+$B$34</f>
        <v>#REF!</v>
      </c>
      <c r="W33" s="28" t="e">
        <f t="shared" si="9"/>
        <v>#REF!</v>
      </c>
      <c r="X33" s="28" t="e">
        <f t="shared" si="10"/>
        <v>#REF!</v>
      </c>
      <c r="Y33" s="28" t="e">
        <f t="shared" si="11"/>
        <v>#REF!</v>
      </c>
      <c r="Z33" s="28" t="e">
        <f t="shared" si="12"/>
        <v>#REF!</v>
      </c>
      <c r="AA33" s="16" t="e">
        <f t="shared" si="0"/>
        <v>#REF!</v>
      </c>
      <c r="AE33" s="41" t="e" cm="1">
        <f t="array" ref="AE33">_xlfn.IFS($V33&gt;$W$3,($W$3+$Y$101),$V33&lt;$X$3,($V33+$X33+$Y$101), $V33&lt;$W$3,$V33+$Y$101,$V33&gt;$X$3,$V33+$Y$101)</f>
        <v>#REF!</v>
      </c>
      <c r="AF33" s="41">
        <v>331333.8025062629</v>
      </c>
      <c r="AG33" s="41">
        <v>345338.14983092627</v>
      </c>
      <c r="AH33" s="41">
        <v>285284.67399821361</v>
      </c>
      <c r="AI33" s="41">
        <v>255437.60185163424</v>
      </c>
      <c r="AJ33" s="41">
        <v>319853.09474332538</v>
      </c>
      <c r="AK33" s="41">
        <v>294716.87797703175</v>
      </c>
      <c r="AL33" s="41">
        <v>269580.66121073812</v>
      </c>
      <c r="AM33" s="41">
        <v>257012.55282759125</v>
      </c>
      <c r="AN33" s="41"/>
      <c r="AO33" s="42" t="s">
        <v>91</v>
      </c>
      <c r="AP33" s="41">
        <f t="shared" si="13"/>
        <v>331333.8025062629</v>
      </c>
      <c r="AR33" s="41"/>
    </row>
    <row r="34" spans="1:44" x14ac:dyDescent="0.3">
      <c r="A34" s="49" t="s">
        <v>92</v>
      </c>
      <c r="B34" s="59">
        <f>B33/D96</f>
        <v>133333.33333333334</v>
      </c>
      <c r="D34" s="32" t="s">
        <v>93</v>
      </c>
      <c r="E34" s="33">
        <v>460270.44748600002</v>
      </c>
      <c r="F34" s="33">
        <v>5205.1071425299997</v>
      </c>
      <c r="G34" s="33">
        <v>8819.2954025199997</v>
      </c>
      <c r="H34" s="33">
        <v>446246.044941</v>
      </c>
      <c r="I34" s="33">
        <v>0</v>
      </c>
      <c r="J34" s="34">
        <v>1356.9076607699999</v>
      </c>
      <c r="K34" s="35">
        <f t="shared" si="1"/>
        <v>444889.13728018006</v>
      </c>
      <c r="L34" s="36">
        <f t="shared" si="2"/>
        <v>1.1002995651528697E-2</v>
      </c>
      <c r="M34" s="37">
        <v>9989</v>
      </c>
      <c r="N34" s="38">
        <f t="shared" si="3"/>
        <v>1.7504618422449932E-3</v>
      </c>
      <c r="O34" s="38">
        <f t="shared" si="4"/>
        <v>21.536444408166243</v>
      </c>
      <c r="P34" s="38">
        <f t="shared" si="5"/>
        <v>7.4998630688611137E-3</v>
      </c>
      <c r="Q34" s="76">
        <v>15494.9698993</v>
      </c>
      <c r="R34" s="33">
        <v>541.82597275800003</v>
      </c>
      <c r="S34" s="39">
        <f t="shared" si="6"/>
        <v>5.9513936101997286E-3</v>
      </c>
      <c r="T34" s="40">
        <f t="shared" si="7"/>
        <v>161087.62141391807</v>
      </c>
      <c r="U34" s="28">
        <f t="shared" si="8"/>
        <v>152463.51957399386</v>
      </c>
      <c r="V34" s="28" t="e">
        <f>(#REF!*$C$13)+$B$34</f>
        <v>#REF!</v>
      </c>
      <c r="W34" s="28" t="e">
        <f t="shared" si="9"/>
        <v>#REF!</v>
      </c>
      <c r="X34" s="28" t="e">
        <f t="shared" si="10"/>
        <v>#REF!</v>
      </c>
      <c r="Y34" s="28" t="e">
        <f t="shared" si="11"/>
        <v>#REF!</v>
      </c>
      <c r="Z34" s="28" t="e">
        <f t="shared" si="12"/>
        <v>#REF!</v>
      </c>
      <c r="AA34" s="16" t="e">
        <f t="shared" si="0"/>
        <v>#REF!</v>
      </c>
      <c r="AE34" s="41" t="e" cm="1">
        <f t="array" ref="AE34">_xlfn.IFS($V34&gt;$W$3,($W$3+$Y$101),$V34&lt;$X$3,($V34+$X34+$Y$101), $V34&lt;$W$3,$V34+$Y$101,$V34&gt;$X$3,$V34+$Y$101)</f>
        <v>#REF!</v>
      </c>
      <c r="AF34" s="41">
        <v>221614.89367366483</v>
      </c>
      <c r="AG34" s="41">
        <v>221127.54833125009</v>
      </c>
      <c r="AH34" s="41">
        <v>223267.44277618319</v>
      </c>
      <c r="AI34" s="41">
        <v>202411.03427152478</v>
      </c>
      <c r="AJ34" s="41">
        <v>241906.09889704135</v>
      </c>
      <c r="AK34" s="41">
        <v>242752.21407950905</v>
      </c>
      <c r="AL34" s="41">
        <v>243598.32926197673</v>
      </c>
      <c r="AM34" s="41">
        <v>244021.3868532106</v>
      </c>
      <c r="AN34" s="41"/>
      <c r="AO34" s="32" t="s">
        <v>93</v>
      </c>
      <c r="AP34" s="41">
        <f t="shared" si="13"/>
        <v>221614.89367366483</v>
      </c>
      <c r="AR34" s="41"/>
    </row>
    <row r="35" spans="1:44" ht="15" thickBot="1" x14ac:dyDescent="0.35">
      <c r="A35" s="60" t="s">
        <v>94</v>
      </c>
      <c r="B35" s="61">
        <f>B3-B33</f>
        <v>3000000</v>
      </c>
      <c r="D35" s="42" t="s">
        <v>95</v>
      </c>
      <c r="E35" s="43">
        <v>341248.83279800002</v>
      </c>
      <c r="F35" s="43">
        <v>0</v>
      </c>
      <c r="G35" s="43">
        <v>35412.511820300002</v>
      </c>
      <c r="H35" s="43">
        <v>305836.320978</v>
      </c>
      <c r="I35" s="43">
        <v>5.9746692005400002</v>
      </c>
      <c r="J35" s="44">
        <v>1832.4311943099999</v>
      </c>
      <c r="K35" s="35">
        <f t="shared" si="1"/>
        <v>303997.91511418944</v>
      </c>
      <c r="L35" s="36">
        <f t="shared" si="2"/>
        <v>7.5184747340070251E-3</v>
      </c>
      <c r="M35" s="45">
        <v>16032</v>
      </c>
      <c r="N35" s="38">
        <f t="shared" si="3"/>
        <v>2.8094307993664761E-3</v>
      </c>
      <c r="O35" s="38">
        <f t="shared" si="4"/>
        <v>25.215208758358266</v>
      </c>
      <c r="P35" s="38">
        <f t="shared" si="5"/>
        <v>8.7809579592779494E-3</v>
      </c>
      <c r="Q35" s="76">
        <v>5556.00580687</v>
      </c>
      <c r="R35" s="43">
        <v>501.85616838099997</v>
      </c>
      <c r="S35" s="39">
        <f t="shared" si="6"/>
        <v>5.5123669663506422E-3</v>
      </c>
      <c r="T35" s="40">
        <f t="shared" si="7"/>
        <v>157782.48237326081</v>
      </c>
      <c r="U35" s="28">
        <f t="shared" si="8"/>
        <v>148825.19163339358</v>
      </c>
      <c r="V35" s="28" t="e">
        <f>(#REF!*$C$13)+$B$34</f>
        <v>#REF!</v>
      </c>
      <c r="W35" s="28" t="e">
        <f t="shared" si="9"/>
        <v>#REF!</v>
      </c>
      <c r="X35" s="28" t="e">
        <f t="shared" si="10"/>
        <v>#REF!</v>
      </c>
      <c r="Y35" s="28" t="e">
        <f t="shared" si="11"/>
        <v>#REF!</v>
      </c>
      <c r="Z35" s="28" t="e">
        <f t="shared" si="12"/>
        <v>#REF!</v>
      </c>
      <c r="AA35" s="16" t="e">
        <f t="shared" si="0"/>
        <v>#REF!</v>
      </c>
      <c r="AE35" s="41" t="e" cm="1">
        <f t="array" ref="AE35">_xlfn.IFS($V35&gt;$W$3,($W$3+$Y$101),$V35&lt;$X$3,($V35+$X35+$Y$101), $V35&lt;$W$3,$V35+$Y$101,$V35&gt;$X$3,$V35+$Y$101)</f>
        <v>#REF!</v>
      </c>
      <c r="AF35" s="41">
        <v>212326.61024522976</v>
      </c>
      <c r="AG35" s="41">
        <v>209585.4564470289</v>
      </c>
      <c r="AH35" s="41">
        <v>212181.55542254471</v>
      </c>
      <c r="AI35" s="41">
        <v>199693.90356116949</v>
      </c>
      <c r="AJ35" s="41">
        <v>219487.09933070294</v>
      </c>
      <c r="AK35" s="41">
        <v>227806.21436861681</v>
      </c>
      <c r="AL35" s="41">
        <v>236125.32940653063</v>
      </c>
      <c r="AM35" s="41">
        <v>240284.88692548752</v>
      </c>
      <c r="AN35" s="41"/>
      <c r="AO35" s="42" t="s">
        <v>95</v>
      </c>
      <c r="AP35" s="41">
        <f t="shared" si="13"/>
        <v>212326.61024522976</v>
      </c>
      <c r="AR35" s="41"/>
    </row>
    <row r="36" spans="1:44" x14ac:dyDescent="0.3">
      <c r="B36" s="19"/>
      <c r="D36" s="32" t="s">
        <v>96</v>
      </c>
      <c r="E36" s="33">
        <v>551820.09867500002</v>
      </c>
      <c r="F36" s="33">
        <v>14884.322260000001</v>
      </c>
      <c r="G36" s="33">
        <v>10392.4662032</v>
      </c>
      <c r="H36" s="33">
        <v>526543.31021200004</v>
      </c>
      <c r="I36" s="33">
        <v>0</v>
      </c>
      <c r="J36" s="34">
        <v>4297.11448741</v>
      </c>
      <c r="K36" s="35">
        <f t="shared" si="1"/>
        <v>522246.19572438992</v>
      </c>
      <c r="L36" s="36">
        <f t="shared" si="2"/>
        <v>1.291618998771824E-2</v>
      </c>
      <c r="M36" s="37">
        <v>43732</v>
      </c>
      <c r="N36" s="38">
        <f t="shared" si="3"/>
        <v>7.6635496331022169E-3</v>
      </c>
      <c r="O36" s="38">
        <f t="shared" si="4"/>
        <v>35.231660564022945</v>
      </c>
      <c r="P36" s="38">
        <f t="shared" si="5"/>
        <v>1.226909256286399E-2</v>
      </c>
      <c r="Q36" s="76">
        <v>50486.240925899998</v>
      </c>
      <c r="R36" s="33">
        <v>1195.9990366</v>
      </c>
      <c r="S36" s="39">
        <f t="shared" si="6"/>
        <v>1.3136802925845301E-2</v>
      </c>
      <c r="T36" s="40">
        <f t="shared" si="7"/>
        <v>171111.2571592067</v>
      </c>
      <c r="U36" s="28">
        <f t="shared" si="8"/>
        <v>164202.94276456404</v>
      </c>
      <c r="V36" s="28" t="e">
        <f>(#REF!*$C$13)+$B$34</f>
        <v>#REF!</v>
      </c>
      <c r="W36" s="28" t="e">
        <f t="shared" si="9"/>
        <v>#REF!</v>
      </c>
      <c r="X36" s="28" t="e">
        <f t="shared" si="10"/>
        <v>#REF!</v>
      </c>
      <c r="Y36" s="28" t="e">
        <f t="shared" si="11"/>
        <v>#REF!</v>
      </c>
      <c r="Z36" s="28" t="e">
        <f t="shared" si="12"/>
        <v>#REF!</v>
      </c>
      <c r="AA36" s="16" t="e">
        <f t="shared" si="0"/>
        <v>#REF!</v>
      </c>
      <c r="AE36" s="41" t="e" cm="1">
        <f t="array" ref="AE36">_xlfn.IFS($V36&gt;$W$3,($W$3+$Y$101),$V36&lt;$X$3,($V36+$X36+$Y$101), $V36&lt;$W$3,$V36+$Y$101,$V36&gt;$X$3,$V36+$Y$101)</f>
        <v>#REF!</v>
      </c>
      <c r="AF36" s="41">
        <v>287575.66550694493</v>
      </c>
      <c r="AG36" s="41">
        <v>301580.0128316083</v>
      </c>
      <c r="AH36" s="41">
        <v>241526.53699889564</v>
      </c>
      <c r="AI36" s="41">
        <v>232554.01114480174</v>
      </c>
      <c r="AJ36" s="41">
        <v>254215.88924434839</v>
      </c>
      <c r="AK36" s="41">
        <v>250958.74097771378</v>
      </c>
      <c r="AL36" s="41">
        <v>247701.59271107911</v>
      </c>
      <c r="AM36" s="41">
        <v>246073.01857776177</v>
      </c>
      <c r="AN36" s="41"/>
      <c r="AO36" s="32" t="s">
        <v>96</v>
      </c>
      <c r="AP36" s="41">
        <f t="shared" si="13"/>
        <v>287575.66550694493</v>
      </c>
      <c r="AR36" s="41"/>
    </row>
    <row r="37" spans="1:44" x14ac:dyDescent="0.3">
      <c r="D37" s="42" t="s">
        <v>97</v>
      </c>
      <c r="E37" s="43">
        <v>707307.84024799999</v>
      </c>
      <c r="F37" s="43">
        <v>443.773037273</v>
      </c>
      <c r="G37" s="43">
        <v>76232.451614299993</v>
      </c>
      <c r="H37" s="43">
        <v>630631.615597</v>
      </c>
      <c r="I37" s="43">
        <v>0</v>
      </c>
      <c r="J37" s="44">
        <v>2228.6415866000002</v>
      </c>
      <c r="K37" s="35">
        <f t="shared" si="1"/>
        <v>628402.97400982701</v>
      </c>
      <c r="L37" s="36">
        <f t="shared" si="2"/>
        <v>1.5541658833722804E-2</v>
      </c>
      <c r="M37" s="45">
        <v>4207</v>
      </c>
      <c r="N37" s="38">
        <f t="shared" si="3"/>
        <v>7.3723025030780721E-4</v>
      </c>
      <c r="O37" s="38">
        <f t="shared" si="4"/>
        <v>16.143244977611037</v>
      </c>
      <c r="P37" s="38">
        <f t="shared" si="5"/>
        <v>5.6217323772003074E-3</v>
      </c>
      <c r="Q37" s="76">
        <v>7004.4733055699999</v>
      </c>
      <c r="R37" s="43">
        <v>609.62142054399999</v>
      </c>
      <c r="S37" s="39">
        <f t="shared" si="6"/>
        <v>6.696055946522313E-3</v>
      </c>
      <c r="T37" s="40">
        <f t="shared" si="7"/>
        <v>165078.420149718</v>
      </c>
      <c r="U37" s="28">
        <f t="shared" si="8"/>
        <v>157751.66695937928</v>
      </c>
      <c r="V37" s="28" t="e">
        <f>(#REF!*$C$13)+$B$34</f>
        <v>#REF!</v>
      </c>
      <c r="W37" s="28" t="e">
        <f t="shared" si="9"/>
        <v>#REF!</v>
      </c>
      <c r="X37" s="28" t="e">
        <f t="shared" si="10"/>
        <v>#REF!</v>
      </c>
      <c r="Y37" s="28" t="e">
        <f t="shared" si="11"/>
        <v>#REF!</v>
      </c>
      <c r="Z37" s="28" t="e">
        <f t="shared" si="12"/>
        <v>#REF!</v>
      </c>
      <c r="AA37" s="16" t="e">
        <f t="shared" si="0"/>
        <v>#REF!</v>
      </c>
      <c r="AE37" s="41" t="e" cm="1">
        <f t="array" ref="AE37">_xlfn.IFS($V37&gt;$W$3,($W$3+$Y$101),$V37&lt;$X$3,($V37+$X37+$Y$101), $V37&lt;$W$3,$V37+$Y$101,$V37&gt;$X$3,$V37+$Y$101)</f>
        <v>#REF!</v>
      </c>
      <c r="AF37" s="41">
        <v>241083.20422739064</v>
      </c>
      <c r="AG37" s="41">
        <v>240595.8588849759</v>
      </c>
      <c r="AH37" s="41">
        <v>240274.98657740818</v>
      </c>
      <c r="AI37" s="41">
        <v>207639.87275735009</v>
      </c>
      <c r="AJ37" s="41">
        <v>271108.56472763006</v>
      </c>
      <c r="AK37" s="41">
        <v>262220.52463323483</v>
      </c>
      <c r="AL37" s="41">
        <v>253332.48453883966</v>
      </c>
      <c r="AM37" s="41">
        <v>248888.46449164205</v>
      </c>
      <c r="AN37" s="41"/>
      <c r="AO37" s="42" t="s">
        <v>97</v>
      </c>
      <c r="AP37" s="41">
        <f t="shared" si="13"/>
        <v>241083.20422739064</v>
      </c>
      <c r="AR37" s="41"/>
    </row>
    <row r="38" spans="1:44" ht="15" thickBot="1" x14ac:dyDescent="0.35">
      <c r="D38" s="32" t="s">
        <v>98</v>
      </c>
      <c r="E38" s="33">
        <v>2018223.43303</v>
      </c>
      <c r="F38" s="33">
        <v>65232.290682500003</v>
      </c>
      <c r="G38" s="33">
        <v>1378400.07372</v>
      </c>
      <c r="H38" s="33">
        <v>574591.06862799998</v>
      </c>
      <c r="I38" s="33">
        <v>1797.8884358600001</v>
      </c>
      <c r="J38" s="34">
        <v>5763.4278782900001</v>
      </c>
      <c r="K38" s="35">
        <f t="shared" si="1"/>
        <v>567029.75231334998</v>
      </c>
      <c r="L38" s="36">
        <f t="shared" si="2"/>
        <v>1.4023776658457726E-2</v>
      </c>
      <c r="M38" s="37">
        <v>12062</v>
      </c>
      <c r="N38" s="38">
        <f t="shared" si="3"/>
        <v>2.1137321795133756E-3</v>
      </c>
      <c r="O38" s="38">
        <f t="shared" si="4"/>
        <v>22.933646185864909</v>
      </c>
      <c r="P38" s="38">
        <f t="shared" si="5"/>
        <v>7.9864253729123782E-3</v>
      </c>
      <c r="Q38" s="76">
        <v>31430.3121766</v>
      </c>
      <c r="R38" s="33">
        <v>1611.0164322099999</v>
      </c>
      <c r="S38" s="39">
        <f t="shared" si="6"/>
        <v>1.769533647820096E-2</v>
      </c>
      <c r="T38" s="40">
        <f t="shared" si="7"/>
        <v>166348.63638038852</v>
      </c>
      <c r="U38" s="28">
        <f t="shared" si="8"/>
        <v>157539.59659028999</v>
      </c>
      <c r="V38" s="28" t="e">
        <f>(#REF!*$C$13)+$B$34</f>
        <v>#REF!</v>
      </c>
      <c r="W38" s="28" t="e">
        <f t="shared" si="9"/>
        <v>#REF!</v>
      </c>
      <c r="X38" s="28" t="e">
        <f t="shared" si="10"/>
        <v>#REF!</v>
      </c>
      <c r="Y38" s="28" t="e">
        <f t="shared" si="11"/>
        <v>#REF!</v>
      </c>
      <c r="Z38" s="28" t="e">
        <f t="shared" si="12"/>
        <v>#REF!</v>
      </c>
      <c r="AA38" s="16" t="e">
        <f t="shared" si="0"/>
        <v>#REF!</v>
      </c>
      <c r="AE38" s="41" t="e" cm="1">
        <f t="array" ref="AE38">_xlfn.IFS($V38&gt;$W$3,($W$3+$Y$101),$V38&lt;$X$3,($V38+$X38+$Y$101), $V38&lt;$W$3,$V38+$Y$101,$V38&gt;$X$3,$V38+$Y$101)</f>
        <v>#REF!</v>
      </c>
      <c r="AF38" s="41">
        <v>234763.07540261943</v>
      </c>
      <c r="AG38" s="41">
        <v>237679.63788687577</v>
      </c>
      <c r="AH38" s="41">
        <v>236415.62450513779</v>
      </c>
      <c r="AI38" s="41">
        <v>210489.21019064175</v>
      </c>
      <c r="AJ38" s="41">
        <v>261628.37149047322</v>
      </c>
      <c r="AK38" s="41">
        <v>255900.39580846363</v>
      </c>
      <c r="AL38" s="41">
        <v>250172.42012645403</v>
      </c>
      <c r="AM38" s="41">
        <v>247308.43228544923</v>
      </c>
      <c r="AN38" s="41"/>
      <c r="AO38" s="32" t="s">
        <v>98</v>
      </c>
      <c r="AP38" s="41">
        <f t="shared" si="13"/>
        <v>234763.07540261943</v>
      </c>
      <c r="AR38" s="41"/>
    </row>
    <row r="39" spans="1:44" x14ac:dyDescent="0.3">
      <c r="A39" s="84" t="s">
        <v>99</v>
      </c>
      <c r="B39" s="85"/>
      <c r="C39" s="79"/>
      <c r="D39" s="42" t="s">
        <v>100</v>
      </c>
      <c r="E39" s="43">
        <v>498328.594415</v>
      </c>
      <c r="F39" s="43">
        <v>11588.3727003</v>
      </c>
      <c r="G39" s="43">
        <v>19049.1389566</v>
      </c>
      <c r="H39" s="43">
        <v>467691.082758</v>
      </c>
      <c r="I39" s="43">
        <v>0</v>
      </c>
      <c r="J39" s="44">
        <v>1295.34324466</v>
      </c>
      <c r="K39" s="35">
        <f t="shared" si="1"/>
        <v>466395.73951344</v>
      </c>
      <c r="L39" s="36">
        <f t="shared" si="2"/>
        <v>1.1534896817509939E-2</v>
      </c>
      <c r="M39" s="45">
        <v>6719</v>
      </c>
      <c r="N39" s="38">
        <f t="shared" si="3"/>
        <v>1.1774304853382829E-3</v>
      </c>
      <c r="O39" s="38">
        <f t="shared" si="4"/>
        <v>18.869839824438301</v>
      </c>
      <c r="P39" s="38">
        <f t="shared" si="5"/>
        <v>6.5712432438925312E-3</v>
      </c>
      <c r="Q39" s="76">
        <v>9803.2007073200002</v>
      </c>
      <c r="R39" s="43">
        <v>775.81723525400002</v>
      </c>
      <c r="S39" s="39">
        <f t="shared" si="6"/>
        <v>8.5215437589140613E-3</v>
      </c>
      <c r="T39" s="40">
        <f t="shared" si="7"/>
        <v>160492.54342543706</v>
      </c>
      <c r="U39" s="28">
        <f t="shared" si="8"/>
        <v>152401.82428760568</v>
      </c>
      <c r="V39" s="28" t="e">
        <f>(#REF!*$C$13)+$B$34</f>
        <v>#REF!</v>
      </c>
      <c r="W39" s="28" t="e">
        <f t="shared" si="9"/>
        <v>#REF!</v>
      </c>
      <c r="X39" s="28" t="e">
        <f t="shared" si="10"/>
        <v>#REF!</v>
      </c>
      <c r="Y39" s="28" t="e">
        <f t="shared" si="11"/>
        <v>#REF!</v>
      </c>
      <c r="Z39" s="28" t="e">
        <f t="shared" si="12"/>
        <v>#REF!</v>
      </c>
      <c r="AA39" s="16" t="e">
        <f t="shared" si="0"/>
        <v>#REF!</v>
      </c>
      <c r="AE39" s="41" t="e" cm="1">
        <f t="array" ref="AE39">_xlfn.IFS($V39&gt;$W$3,($W$3+$Y$101),$V39&lt;$X$3,($V39+$X39+$Y$101), $V39&lt;$W$3,$V39+$Y$101,$V39&gt;$X$3,$V39+$Y$101)</f>
        <v>#REF!</v>
      </c>
      <c r="AF39" s="41">
        <v>223896.4503055464</v>
      </c>
      <c r="AG39" s="41">
        <v>223409.10496313166</v>
      </c>
      <c r="AH39" s="41">
        <v>223088.23265556394</v>
      </c>
      <c r="AI39" s="41">
        <v>201003.11694900386</v>
      </c>
      <c r="AJ39" s="41">
        <v>245328.43384486367</v>
      </c>
      <c r="AK39" s="41">
        <v>245033.77071139062</v>
      </c>
      <c r="AL39" s="41">
        <v>244739.10757791752</v>
      </c>
      <c r="AM39" s="41">
        <v>244591.77601118098</v>
      </c>
      <c r="AN39" s="41"/>
      <c r="AO39" s="42" t="s">
        <v>100</v>
      </c>
      <c r="AP39" s="41">
        <f t="shared" si="13"/>
        <v>223896.4503055464</v>
      </c>
      <c r="AR39" s="41"/>
    </row>
    <row r="40" spans="1:44" x14ac:dyDescent="0.3">
      <c r="A40" s="86" t="s">
        <v>46</v>
      </c>
      <c r="B40" s="87">
        <f>IF(($A$9&gt;0),ROUND($A$9/SUM($A$9:$A$13),2),0)</f>
        <v>0</v>
      </c>
      <c r="C40" s="79"/>
      <c r="D40" s="32" t="s">
        <v>101</v>
      </c>
      <c r="E40" s="33">
        <v>1463900.6562999999</v>
      </c>
      <c r="F40" s="33">
        <v>753025.912182</v>
      </c>
      <c r="G40" s="33">
        <v>254987.37370699999</v>
      </c>
      <c r="H40" s="33">
        <v>455887.37040700001</v>
      </c>
      <c r="I40" s="33">
        <v>0</v>
      </c>
      <c r="J40" s="34">
        <v>100691.052218</v>
      </c>
      <c r="K40" s="35">
        <f t="shared" si="1"/>
        <v>355196.31819299993</v>
      </c>
      <c r="L40" s="36">
        <f t="shared" si="2"/>
        <v>8.7847133522059462E-3</v>
      </c>
      <c r="M40" s="37">
        <v>10905</v>
      </c>
      <c r="N40" s="38">
        <f t="shared" si="3"/>
        <v>1.9109807177576986E-3</v>
      </c>
      <c r="O40" s="38">
        <f t="shared" si="4"/>
        <v>22.175592036413772</v>
      </c>
      <c r="P40" s="38">
        <f t="shared" si="5"/>
        <v>7.7224401852037817E-3</v>
      </c>
      <c r="Q40" s="76">
        <v>119819.51023499999</v>
      </c>
      <c r="R40" s="33">
        <v>4390.3485409900004</v>
      </c>
      <c r="S40" s="39">
        <f t="shared" si="6"/>
        <v>4.8223403024401805E-2</v>
      </c>
      <c r="T40" s="40">
        <f t="shared" si="7"/>
        <v>158094.06363944794</v>
      </c>
      <c r="U40" s="28">
        <f t="shared" si="8"/>
        <v>149376.87443827881</v>
      </c>
      <c r="V40" s="28" t="e">
        <f>(#REF!*$C$13)+$B$34</f>
        <v>#REF!</v>
      </c>
      <c r="W40" s="28" t="e">
        <f t="shared" si="9"/>
        <v>#REF!</v>
      </c>
      <c r="X40" s="28" t="e">
        <f t="shared" si="10"/>
        <v>#REF!</v>
      </c>
      <c r="Y40" s="28" t="e">
        <f t="shared" si="11"/>
        <v>#REF!</v>
      </c>
      <c r="Z40" s="28" t="e">
        <f t="shared" si="12"/>
        <v>#REF!</v>
      </c>
      <c r="AA40" s="16" t="e">
        <f t="shared" si="0"/>
        <v>#REF!</v>
      </c>
      <c r="AE40" s="41" t="e" cm="1">
        <f t="array" ref="AE40">_xlfn.IFS($V40&gt;$W$3,($W$3+$Y$101),$V40&lt;$X$3,($V40+$X40+$Y$101), $V40&lt;$W$3,$V40+$Y$101,$V40&gt;$X$3,$V40+$Y$101)</f>
        <v>#REF!</v>
      </c>
      <c r="AF40" s="41">
        <v>212099.7111264173</v>
      </c>
      <c r="AG40" s="41">
        <v>211612.36578400256</v>
      </c>
      <c r="AH40" s="41">
        <v>213752.26022893566</v>
      </c>
      <c r="AI40" s="41">
        <v>198421.28959678422</v>
      </c>
      <c r="AJ40" s="41">
        <v>227633.32507617003</v>
      </c>
      <c r="AK40" s="41">
        <v>233237.03153226152</v>
      </c>
      <c r="AL40" s="41">
        <v>238840.73798835298</v>
      </c>
      <c r="AM40" s="41">
        <v>241642.59121639872</v>
      </c>
      <c r="AN40" s="41"/>
      <c r="AO40" s="32" t="s">
        <v>101</v>
      </c>
      <c r="AP40" s="41">
        <f t="shared" si="13"/>
        <v>212099.7111264173</v>
      </c>
      <c r="AR40" s="41"/>
    </row>
    <row r="41" spans="1:44" x14ac:dyDescent="0.3">
      <c r="A41" s="86" t="s">
        <v>6</v>
      </c>
      <c r="B41" s="88">
        <f>IF(($A$10&gt;0),ROUND($A$10/SUM($A$9:$A$13),2),0)</f>
        <v>0.5</v>
      </c>
      <c r="C41" s="79"/>
      <c r="D41" s="42" t="s">
        <v>102</v>
      </c>
      <c r="E41" s="43">
        <v>1134943.71365</v>
      </c>
      <c r="F41" s="43">
        <v>54594.605870699997</v>
      </c>
      <c r="G41" s="43">
        <v>438354.12079999998</v>
      </c>
      <c r="H41" s="43">
        <v>641994.98698000005</v>
      </c>
      <c r="I41" s="43">
        <v>110204.208264</v>
      </c>
      <c r="J41" s="44">
        <v>2625.0601183799999</v>
      </c>
      <c r="K41" s="35">
        <f t="shared" si="1"/>
        <v>529165.71859692014</v>
      </c>
      <c r="L41" s="36">
        <f t="shared" si="2"/>
        <v>1.3087323588647577E-2</v>
      </c>
      <c r="M41" s="45">
        <v>3763</v>
      </c>
      <c r="N41" s="38">
        <f t="shared" si="3"/>
        <v>6.5942415781038231E-4</v>
      </c>
      <c r="O41" s="38">
        <f t="shared" si="4"/>
        <v>15.554094722982821</v>
      </c>
      <c r="P41" s="38">
        <f t="shared" si="5"/>
        <v>5.4165663733347462E-3</v>
      </c>
      <c r="Q41" s="76">
        <v>302885.47303699999</v>
      </c>
      <c r="R41" s="43">
        <v>622.96675792799999</v>
      </c>
      <c r="S41" s="39">
        <f t="shared" si="6"/>
        <v>6.8426405689404977E-3</v>
      </c>
      <c r="T41" s="40">
        <f t="shared" si="7"/>
        <v>161089.16827630682</v>
      </c>
      <c r="U41" s="28">
        <f t="shared" si="8"/>
        <v>153953.45495302029</v>
      </c>
      <c r="V41" s="28" t="e">
        <f>(#REF!*$C$13)+$B$34</f>
        <v>#REF!</v>
      </c>
      <c r="W41" s="28" t="e">
        <f t="shared" si="9"/>
        <v>#REF!</v>
      </c>
      <c r="X41" s="28" t="e">
        <f t="shared" si="10"/>
        <v>#REF!</v>
      </c>
      <c r="Y41" s="28" t="e">
        <f t="shared" si="11"/>
        <v>#REF!</v>
      </c>
      <c r="Z41" s="28" t="e">
        <f t="shared" si="12"/>
        <v>#REF!</v>
      </c>
      <c r="AA41" s="16" t="e">
        <f t="shared" si="0"/>
        <v>#REF!</v>
      </c>
      <c r="AE41" s="41" t="e" cm="1">
        <f t="array" ref="AE41">_xlfn.IFS($V41&gt;$W$3,($W$3+$Y$101),$V41&lt;$X$3,($V41+$X41+$Y$101), $V41&lt;$W$3,$V41+$Y$101,$V41&gt;$X$3,$V41+$Y$101)</f>
        <v>#REF!</v>
      </c>
      <c r="AF41" s="41">
        <v>242246.64807303203</v>
      </c>
      <c r="AG41" s="41">
        <v>241759.30273061729</v>
      </c>
      <c r="AH41" s="41">
        <v>241438.43042304958</v>
      </c>
      <c r="AI41" s="41">
        <v>207972.58418675789</v>
      </c>
      <c r="AJ41" s="41">
        <v>272853.73049609218</v>
      </c>
      <c r="AK41" s="41">
        <v>263383.96847887628</v>
      </c>
      <c r="AL41" s="41">
        <v>253914.20646166036</v>
      </c>
      <c r="AM41" s="41">
        <v>249179.32545305238</v>
      </c>
      <c r="AN41" s="41"/>
      <c r="AO41" s="42" t="s">
        <v>102</v>
      </c>
      <c r="AP41" s="41">
        <f t="shared" si="13"/>
        <v>242246.64807303203</v>
      </c>
      <c r="AR41" s="41"/>
    </row>
    <row r="42" spans="1:44" x14ac:dyDescent="0.3">
      <c r="A42" s="86" t="s">
        <v>50</v>
      </c>
      <c r="B42" s="88">
        <f>IF(($A$11&gt;0),ROUND($A$11/SUM($A$9:$A$13),2),0)</f>
        <v>0</v>
      </c>
      <c r="C42" s="79"/>
      <c r="D42" s="32" t="s">
        <v>103</v>
      </c>
      <c r="E42" s="33">
        <v>303181.99307500001</v>
      </c>
      <c r="F42" s="33">
        <v>424.30410488899997</v>
      </c>
      <c r="G42" s="33">
        <v>6136.2694569699997</v>
      </c>
      <c r="H42" s="33">
        <v>296621.419513</v>
      </c>
      <c r="I42" s="33">
        <v>0</v>
      </c>
      <c r="J42" s="34">
        <v>2882.7314021699999</v>
      </c>
      <c r="K42" s="35">
        <f t="shared" si="1"/>
        <v>293738.68811097107</v>
      </c>
      <c r="L42" s="36">
        <f t="shared" si="2"/>
        <v>7.2647435892221448E-3</v>
      </c>
      <c r="M42" s="37">
        <v>28674</v>
      </c>
      <c r="N42" s="38">
        <f t="shared" si="3"/>
        <v>5.0248015681782898E-3</v>
      </c>
      <c r="O42" s="38">
        <f t="shared" si="4"/>
        <v>30.60761056375777</v>
      </c>
      <c r="P42" s="38">
        <f t="shared" si="5"/>
        <v>1.0658810885522393E-2</v>
      </c>
      <c r="Q42" s="76">
        <v>20638.944615100001</v>
      </c>
      <c r="R42" s="33">
        <v>647.48519071099997</v>
      </c>
      <c r="S42" s="39">
        <f t="shared" si="6"/>
        <v>7.1119499995203981E-3</v>
      </c>
      <c r="T42" s="40">
        <f t="shared" si="7"/>
        <v>160218.66504545015</v>
      </c>
      <c r="U42" s="28">
        <f t="shared" si="8"/>
        <v>151767.65106943401</v>
      </c>
      <c r="V42" s="28" t="e">
        <f>(#REF!*$C$13)+$B$34</f>
        <v>#REF!</v>
      </c>
      <c r="W42" s="28" t="e">
        <f t="shared" si="9"/>
        <v>#REF!</v>
      </c>
      <c r="X42" s="28" t="e">
        <f t="shared" si="10"/>
        <v>#REF!</v>
      </c>
      <c r="Y42" s="28" t="e">
        <f t="shared" si="11"/>
        <v>#REF!</v>
      </c>
      <c r="Z42" s="28" t="e">
        <f t="shared" si="12"/>
        <v>#REF!</v>
      </c>
      <c r="AA42" s="16" t="e">
        <f t="shared" si="0"/>
        <v>#REF!</v>
      </c>
      <c r="AE42" s="41" t="e" cm="1">
        <f t="array" ref="AE42">_xlfn.IFS($V42&gt;$W$3,($W$3+$Y$101),$V42&lt;$X$3,($V42+$X42+$Y$101), $V42&lt;$W$3,$V42+$Y$101,$V42&gt;$X$3,$V42+$Y$101)</f>
        <v>#REF!</v>
      </c>
      <c r="AF42" s="41">
        <v>211237.612610955</v>
      </c>
      <c r="AG42" s="41">
        <v>214623.34100003802</v>
      </c>
      <c r="AH42" s="41">
        <v>211092.55778826994</v>
      </c>
      <c r="AI42" s="41">
        <v>208926.34306435013</v>
      </c>
      <c r="AJ42" s="41">
        <v>217853.60287929076</v>
      </c>
      <c r="AK42" s="41">
        <v>226717.21673434199</v>
      </c>
      <c r="AL42" s="41">
        <v>235580.83058939321</v>
      </c>
      <c r="AM42" s="41">
        <v>240012.63751691882</v>
      </c>
      <c r="AN42" s="41"/>
      <c r="AO42" s="32" t="s">
        <v>103</v>
      </c>
      <c r="AP42" s="41">
        <f t="shared" si="13"/>
        <v>211237.612610955</v>
      </c>
      <c r="AR42" s="41"/>
    </row>
    <row r="43" spans="1:44" x14ac:dyDescent="0.3">
      <c r="A43" s="89" t="s">
        <v>52</v>
      </c>
      <c r="B43" s="88">
        <f>IF(($A$12&gt;0),ROUND($A$12/SUM($A$9:$A$13),2),0)</f>
        <v>0</v>
      </c>
      <c r="C43" s="79"/>
      <c r="D43" s="42" t="s">
        <v>104</v>
      </c>
      <c r="E43" s="43">
        <v>351304.82061</v>
      </c>
      <c r="F43" s="43">
        <v>3171.7472061200001</v>
      </c>
      <c r="G43" s="43">
        <v>9781.1514253200003</v>
      </c>
      <c r="H43" s="43">
        <v>338351.92197899998</v>
      </c>
      <c r="I43" s="43">
        <v>0</v>
      </c>
      <c r="J43" s="44">
        <v>1933.13936356</v>
      </c>
      <c r="K43" s="35">
        <f t="shared" si="1"/>
        <v>336418.78261499997</v>
      </c>
      <c r="L43" s="36">
        <f t="shared" si="2"/>
        <v>8.3203074474579464E-3</v>
      </c>
      <c r="M43" s="45">
        <v>5640</v>
      </c>
      <c r="N43" s="38">
        <f t="shared" si="3"/>
        <v>9.8834766145377531E-4</v>
      </c>
      <c r="O43" s="38">
        <f t="shared" si="4"/>
        <v>17.800260905993497</v>
      </c>
      <c r="P43" s="38">
        <f t="shared" si="5"/>
        <v>6.1987725018495723E-3</v>
      </c>
      <c r="Q43" s="76">
        <v>9937.9551229600002</v>
      </c>
      <c r="R43" s="43">
        <v>632.28226009699995</v>
      </c>
      <c r="S43" s="39">
        <f t="shared" si="6"/>
        <v>6.9449616514869594E-3</v>
      </c>
      <c r="T43" s="40">
        <f t="shared" si="7"/>
        <v>155111.9532572946</v>
      </c>
      <c r="U43" s="28">
        <f t="shared" si="8"/>
        <v>147296.31599670093</v>
      </c>
      <c r="V43" s="28" t="e">
        <f>(#REF!*$C$13)+$B$34</f>
        <v>#REF!</v>
      </c>
      <c r="W43" s="28" t="e">
        <f t="shared" si="9"/>
        <v>#REF!</v>
      </c>
      <c r="X43" s="28" t="e">
        <f t="shared" si="10"/>
        <v>#REF!</v>
      </c>
      <c r="Y43" s="28" t="e">
        <f t="shared" si="11"/>
        <v>#REF!</v>
      </c>
      <c r="Z43" s="28" t="e">
        <f t="shared" si="12"/>
        <v>#REF!</v>
      </c>
      <c r="AA43" s="16" t="e">
        <f t="shared" si="0"/>
        <v>#REF!</v>
      </c>
      <c r="AE43" s="41" t="e" cm="1">
        <f t="array" ref="AE43">_xlfn.IFS($V43&gt;$W$3,($W$3+$Y$101),$V43&lt;$X$3,($V43+$X43+$Y$101), $V43&lt;$W$3,$V43+$Y$101,$V43&gt;$X$3,$V43+$Y$101)</f>
        <v>#REF!</v>
      </c>
      <c r="AF43" s="41">
        <v>210107.67117683741</v>
      </c>
      <c r="AG43" s="41">
        <v>209620.32583442266</v>
      </c>
      <c r="AH43" s="41">
        <v>209299.45352685495</v>
      </c>
      <c r="AI43" s="41">
        <v>193247.59821702633</v>
      </c>
      <c r="AJ43" s="41">
        <v>224645.26515180021</v>
      </c>
      <c r="AK43" s="41">
        <v>231244.99158268163</v>
      </c>
      <c r="AL43" s="41">
        <v>237844.71801356305</v>
      </c>
      <c r="AM43" s="41">
        <v>241144.58122900373</v>
      </c>
      <c r="AN43" s="41"/>
      <c r="AO43" s="42" t="s">
        <v>104</v>
      </c>
      <c r="AP43" s="41">
        <f t="shared" si="13"/>
        <v>210107.67117683741</v>
      </c>
      <c r="AR43" s="41"/>
    </row>
    <row r="44" spans="1:44" x14ac:dyDescent="0.3">
      <c r="A44" s="90" t="s">
        <v>105</v>
      </c>
      <c r="B44" s="88">
        <f>IF(($A$13&gt;0),ROUND($A$13/SUM($A$9:$A$13),2),0)</f>
        <v>0.5</v>
      </c>
      <c r="C44" s="79"/>
      <c r="D44" s="32" t="s">
        <v>106</v>
      </c>
      <c r="E44" s="33">
        <v>462113.28159700002</v>
      </c>
      <c r="F44" s="33">
        <v>2284.0574379599998</v>
      </c>
      <c r="G44" s="33">
        <v>13725.5864595</v>
      </c>
      <c r="H44" s="33">
        <v>446103.63769900001</v>
      </c>
      <c r="I44" s="33">
        <v>0</v>
      </c>
      <c r="J44" s="34">
        <v>3623.9378461599999</v>
      </c>
      <c r="K44" s="35">
        <f t="shared" si="1"/>
        <v>442479.69985337998</v>
      </c>
      <c r="L44" s="36">
        <f t="shared" si="2"/>
        <v>1.0943405458583582E-2</v>
      </c>
      <c r="M44" s="37">
        <v>25269</v>
      </c>
      <c r="N44" s="38">
        <f t="shared" si="3"/>
        <v>4.4281129534176327E-3</v>
      </c>
      <c r="O44" s="38">
        <f t="shared" si="4"/>
        <v>29.344678233375241</v>
      </c>
      <c r="P44" s="38">
        <f t="shared" si="5"/>
        <v>1.0219006646549914E-2</v>
      </c>
      <c r="Q44" s="76">
        <v>6946.8304106100004</v>
      </c>
      <c r="R44" s="33">
        <v>559.65985074100001</v>
      </c>
      <c r="S44" s="39">
        <f t="shared" si="6"/>
        <v>6.147280173062067E-3</v>
      </c>
      <c r="T44" s="40">
        <f t="shared" si="7"/>
        <v>165076.9514910336</v>
      </c>
      <c r="U44" s="28">
        <f t="shared" si="8"/>
        <v>156390.61095133517</v>
      </c>
      <c r="V44" s="28" t="e">
        <f>(#REF!*$C$13)+$B$34</f>
        <v>#REF!</v>
      </c>
      <c r="W44" s="28" t="e">
        <f t="shared" si="9"/>
        <v>#REF!</v>
      </c>
      <c r="X44" s="28" t="e">
        <f t="shared" si="10"/>
        <v>#REF!</v>
      </c>
      <c r="Y44" s="28" t="e">
        <f t="shared" si="11"/>
        <v>#REF!</v>
      </c>
      <c r="Z44" s="28" t="e">
        <f t="shared" si="12"/>
        <v>#REF!</v>
      </c>
      <c r="AA44" s="16" t="e">
        <f t="shared" si="0"/>
        <v>#REF!</v>
      </c>
      <c r="AE44" s="41" t="e" cm="1">
        <f t="array" ref="AE44">_xlfn.IFS($V44&gt;$W$3,($W$3+$Y$101),$V44&lt;$X$3,($V44+$X44+$Y$101), $V44&lt;$W$3,$V44+$Y$101,$V44&gt;$X$3,$V44+$Y$101)</f>
        <v>#REF!</v>
      </c>
      <c r="AF44" s="41">
        <v>227017.00156756319</v>
      </c>
      <c r="AG44" s="41">
        <v>230402.72995664622</v>
      </c>
      <c r="AH44" s="41">
        <v>226871.94674487814</v>
      </c>
      <c r="AI44" s="41">
        <v>214032.9790868627</v>
      </c>
      <c r="AJ44" s="41">
        <v>241522.68631420308</v>
      </c>
      <c r="AK44" s="41">
        <v>242496.60569095021</v>
      </c>
      <c r="AL44" s="41">
        <v>243470.52506769734</v>
      </c>
      <c r="AM44" s="41">
        <v>243957.48475607089</v>
      </c>
      <c r="AN44" s="41"/>
      <c r="AO44" s="32" t="s">
        <v>106</v>
      </c>
      <c r="AP44" s="41">
        <f t="shared" si="13"/>
        <v>227017.00156756319</v>
      </c>
      <c r="AR44" s="41"/>
    </row>
    <row r="45" spans="1:44" ht="15" thickBot="1" x14ac:dyDescent="0.35">
      <c r="A45" s="91" t="s">
        <v>107</v>
      </c>
      <c r="B45" s="92">
        <f>SUM($B$40:$B$44)</f>
        <v>1</v>
      </c>
      <c r="C45" s="79"/>
      <c r="D45" s="42" t="s">
        <v>108</v>
      </c>
      <c r="E45" s="43">
        <v>373431.99242199998</v>
      </c>
      <c r="F45" s="43">
        <v>9476.5263920599991</v>
      </c>
      <c r="G45" s="43">
        <v>36602.122866099999</v>
      </c>
      <c r="H45" s="43">
        <v>327353.34316400002</v>
      </c>
      <c r="I45" s="43">
        <v>44882.624308500002</v>
      </c>
      <c r="J45" s="44">
        <v>912.33755223200001</v>
      </c>
      <c r="K45" s="35">
        <f t="shared" si="1"/>
        <v>281558.38130310801</v>
      </c>
      <c r="L45" s="36">
        <f t="shared" si="2"/>
        <v>6.9635003094681595E-3</v>
      </c>
      <c r="M45" s="45">
        <v>5411</v>
      </c>
      <c r="N45" s="38">
        <f t="shared" si="3"/>
        <v>9.4821794257559896E-4</v>
      </c>
      <c r="O45" s="38">
        <f t="shared" si="4"/>
        <v>17.5560110144317</v>
      </c>
      <c r="P45" s="38">
        <f t="shared" si="5"/>
        <v>6.1137147872807251E-3</v>
      </c>
      <c r="Q45" s="76">
        <v>20027.8061948</v>
      </c>
      <c r="R45" s="43">
        <v>1052.8461447300001</v>
      </c>
      <c r="S45" s="39">
        <f t="shared" si="6"/>
        <v>1.1564417605111982E-2</v>
      </c>
      <c r="T45" s="40">
        <f t="shared" si="7"/>
        <v>152949.15597845666</v>
      </c>
      <c r="U45" s="28">
        <f t="shared" si="8"/>
        <v>145200.91071139899</v>
      </c>
      <c r="V45" s="28" t="e">
        <f>(#REF!*$C$13)+$B$34</f>
        <v>#REF!</v>
      </c>
      <c r="W45" s="28" t="e">
        <f t="shared" si="9"/>
        <v>#REF!</v>
      </c>
      <c r="X45" s="28" t="e">
        <f t="shared" si="10"/>
        <v>#REF!</v>
      </c>
      <c r="Y45" s="28" t="e">
        <f t="shared" si="11"/>
        <v>#REF!</v>
      </c>
      <c r="Z45" s="28" t="e">
        <f t="shared" si="12"/>
        <v>#REF!</v>
      </c>
      <c r="AA45" s="16" t="e">
        <f t="shared" si="0"/>
        <v>#REF!</v>
      </c>
      <c r="AE45" s="41" t="e" cm="1">
        <f t="array" ref="AE45">_xlfn.IFS($V45&gt;$W$3,($W$3+$Y$101),$V45&lt;$X$3,($V45+$X45+$Y$101), $V45&lt;$W$3,$V45+$Y$101,$V45&gt;$X$3,$V45+$Y$101)</f>
        <v>#REF!</v>
      </c>
      <c r="AF45" s="41">
        <v>209049.165372591</v>
      </c>
      <c r="AG45" s="41">
        <v>208561.82003017626</v>
      </c>
      <c r="AH45" s="41">
        <v>208240.94772260854</v>
      </c>
      <c r="AI45" s="41">
        <v>192600.39297591805</v>
      </c>
      <c r="AJ45" s="41">
        <v>223057.5064454306</v>
      </c>
      <c r="AK45" s="41">
        <v>230186.48577843522</v>
      </c>
      <c r="AL45" s="41">
        <v>237315.46511143981</v>
      </c>
      <c r="AM45" s="41">
        <v>240879.95477794213</v>
      </c>
      <c r="AN45" s="41"/>
      <c r="AO45" s="42" t="s">
        <v>108</v>
      </c>
      <c r="AP45" s="41">
        <f t="shared" si="13"/>
        <v>209049.165372591</v>
      </c>
      <c r="AR45" s="41"/>
    </row>
    <row r="46" spans="1:44" x14ac:dyDescent="0.3">
      <c r="A46" s="79"/>
      <c r="B46" s="79"/>
      <c r="C46" s="93"/>
      <c r="D46" s="32" t="s">
        <v>109</v>
      </c>
      <c r="E46" s="33">
        <v>1160599.5840100001</v>
      </c>
      <c r="F46" s="33">
        <v>58742.949508799997</v>
      </c>
      <c r="G46" s="33">
        <v>121269.29265600001</v>
      </c>
      <c r="H46" s="33">
        <v>980587.34184600005</v>
      </c>
      <c r="I46" s="33">
        <v>88.626888299100003</v>
      </c>
      <c r="J46" s="34">
        <v>2980.5262248099998</v>
      </c>
      <c r="K46" s="35">
        <f t="shared" si="1"/>
        <v>977518.18873209099</v>
      </c>
      <c r="L46" s="36">
        <f t="shared" si="2"/>
        <v>2.4175974368948864E-2</v>
      </c>
      <c r="M46" s="37">
        <v>9040</v>
      </c>
      <c r="N46" s="38">
        <f t="shared" si="3"/>
        <v>1.5841600814791008E-3</v>
      </c>
      <c r="O46" s="38">
        <f t="shared" si="4"/>
        <v>20.83160874613117</v>
      </c>
      <c r="P46" s="38">
        <f t="shared" si="5"/>
        <v>7.254410716043362E-3</v>
      </c>
      <c r="Q46" s="76">
        <v>61282.689173600003</v>
      </c>
      <c r="R46" s="33">
        <v>1261.46255873</v>
      </c>
      <c r="S46" s="39">
        <f t="shared" si="6"/>
        <v>1.3855851489210608E-2</v>
      </c>
      <c r="T46" s="40">
        <f t="shared" si="7"/>
        <v>180478.91096082167</v>
      </c>
      <c r="U46" s="28">
        <f t="shared" si="8"/>
        <v>171973.5350089753</v>
      </c>
      <c r="V46" s="28" t="e">
        <f>(#REF!*$C$13)+$B$34</f>
        <v>#REF!</v>
      </c>
      <c r="W46" s="28" t="e">
        <f t="shared" si="9"/>
        <v>#REF!</v>
      </c>
      <c r="X46" s="28" t="e">
        <f t="shared" si="10"/>
        <v>#REF!</v>
      </c>
      <c r="Y46" s="28" t="e">
        <f t="shared" si="11"/>
        <v>#REF!</v>
      </c>
      <c r="Z46" s="28" t="e">
        <f t="shared" si="12"/>
        <v>#REF!</v>
      </c>
      <c r="AA46" s="16" t="e">
        <f t="shared" si="0"/>
        <v>#REF!</v>
      </c>
      <c r="AE46" s="41" t="e" cm="1">
        <f t="array" ref="AE46">_xlfn.IFS($V46&gt;$W$3,($W$3+$Y$101),$V46&lt;$X$3,($V46+$X46+$Y$101), $V46&lt;$W$3,$V46+$Y$101,$V46&gt;$X$3,$V46+$Y$101)</f>
        <v>#REF!</v>
      </c>
      <c r="AF46" s="41">
        <v>278128.96031958086</v>
      </c>
      <c r="AG46" s="41">
        <v>277641.61497716611</v>
      </c>
      <c r="AH46" s="41">
        <v>277320.74266959843</v>
      </c>
      <c r="AI46" s="41">
        <v>229895.59541367862</v>
      </c>
      <c r="AJ46" s="41">
        <v>326677.19886591542</v>
      </c>
      <c r="AK46" s="41">
        <v>299266.28072542511</v>
      </c>
      <c r="AL46" s="41">
        <v>271855.36258493474</v>
      </c>
      <c r="AM46" s="41">
        <v>258149.90351468959</v>
      </c>
      <c r="AN46" s="41"/>
      <c r="AO46" s="32" t="s">
        <v>109</v>
      </c>
      <c r="AP46" s="41">
        <f t="shared" si="13"/>
        <v>278128.96031958086</v>
      </c>
      <c r="AR46" s="41"/>
    </row>
    <row r="47" spans="1:44" x14ac:dyDescent="0.3">
      <c r="A47" s="79" t="s">
        <v>110</v>
      </c>
      <c r="B47" s="94" t="s">
        <v>111</v>
      </c>
      <c r="C47" s="79" t="s">
        <v>112</v>
      </c>
      <c r="D47" s="42" t="s">
        <v>113</v>
      </c>
      <c r="E47" s="43">
        <v>466624.51529000001</v>
      </c>
      <c r="F47" s="43">
        <v>546.07813582599999</v>
      </c>
      <c r="G47" s="43">
        <v>4722.0202666699997</v>
      </c>
      <c r="H47" s="43">
        <v>461356.41688799998</v>
      </c>
      <c r="I47" s="43">
        <v>0</v>
      </c>
      <c r="J47" s="44">
        <v>2425.3695979499998</v>
      </c>
      <c r="K47" s="35">
        <f t="shared" si="1"/>
        <v>458931.04728955403</v>
      </c>
      <c r="L47" s="36">
        <f t="shared" si="2"/>
        <v>1.1350280091236195E-2</v>
      </c>
      <c r="M47" s="45">
        <v>20025</v>
      </c>
      <c r="N47" s="38">
        <f t="shared" si="3"/>
        <v>3.509159915002101E-3</v>
      </c>
      <c r="O47" s="38">
        <f t="shared" si="4"/>
        <v>27.155481530090832</v>
      </c>
      <c r="P47" s="38">
        <f t="shared" si="5"/>
        <v>9.4566396005202752E-3</v>
      </c>
      <c r="Q47" s="76">
        <v>13744.124343900001</v>
      </c>
      <c r="R47" s="43">
        <v>636.54547879500001</v>
      </c>
      <c r="S47" s="39">
        <f t="shared" si="6"/>
        <v>6.9917886656830725E-3</v>
      </c>
      <c r="T47" s="40">
        <f t="shared" si="7"/>
        <v>164543.71287096804</v>
      </c>
      <c r="U47" s="28">
        <f t="shared" si="8"/>
        <v>155622.49334269078</v>
      </c>
      <c r="V47" s="28" t="e">
        <f>(#REF!*$C$13)+$B$34</f>
        <v>#REF!</v>
      </c>
      <c r="W47" s="28" t="e">
        <f t="shared" si="9"/>
        <v>#REF!</v>
      </c>
      <c r="X47" s="28" t="e">
        <f t="shared" si="10"/>
        <v>#REF!</v>
      </c>
      <c r="Y47" s="28" t="e">
        <f t="shared" si="11"/>
        <v>#REF!</v>
      </c>
      <c r="Z47" s="28" t="e">
        <f t="shared" si="12"/>
        <v>#REF!</v>
      </c>
      <c r="AA47" s="16" t="e">
        <f t="shared" si="0"/>
        <v>#REF!</v>
      </c>
      <c r="AE47" s="41" t="e" cm="1">
        <f t="array" ref="AE47">_xlfn.IFS($V47&gt;$W$3,($W$3+$Y$101),$V47&lt;$X$3,($V47+$X47+$Y$101), $V47&lt;$W$3,$V47+$Y$101,$V47&gt;$X$3,$V47+$Y$101)</f>
        <v>#REF!</v>
      </c>
      <c r="AF47" s="41">
        <v>228762.26474020621</v>
      </c>
      <c r="AG47" s="41">
        <v>226021.11094200535</v>
      </c>
      <c r="AH47" s="41">
        <v>228617.20991752116</v>
      </c>
      <c r="AI47" s="41">
        <v>210807.34509119316</v>
      </c>
      <c r="AJ47" s="41">
        <v>244140.58107316762</v>
      </c>
      <c r="AK47" s="41">
        <v>244241.86886359323</v>
      </c>
      <c r="AL47" s="41">
        <v>244343.15665401885</v>
      </c>
      <c r="AM47" s="41">
        <v>244393.80054923164</v>
      </c>
      <c r="AN47" s="41"/>
      <c r="AO47" s="42" t="s">
        <v>113</v>
      </c>
      <c r="AP47" s="41">
        <f t="shared" si="13"/>
        <v>228762.26474020621</v>
      </c>
      <c r="AR47" s="41"/>
    </row>
    <row r="48" spans="1:44" x14ac:dyDescent="0.3">
      <c r="A48" s="80" t="s">
        <v>114</v>
      </c>
      <c r="B48" s="81">
        <v>168251</v>
      </c>
      <c r="C48" s="95">
        <f>B48/$B$52</f>
        <v>2.9479504551030253E-2</v>
      </c>
      <c r="D48" s="32" t="s">
        <v>115</v>
      </c>
      <c r="E48" s="33">
        <v>323344.83026900003</v>
      </c>
      <c r="F48" s="33">
        <v>1858.1809014600001</v>
      </c>
      <c r="G48" s="33">
        <v>3857.2681384000002</v>
      </c>
      <c r="H48" s="33">
        <v>317629.38122899999</v>
      </c>
      <c r="I48" s="33">
        <v>0</v>
      </c>
      <c r="J48" s="34">
        <v>2832.3056493099998</v>
      </c>
      <c r="K48" s="35">
        <f t="shared" si="1"/>
        <v>314797.07557983004</v>
      </c>
      <c r="L48" s="36">
        <f t="shared" si="2"/>
        <v>7.7855595101605328E-3</v>
      </c>
      <c r="M48" s="37">
        <v>36771</v>
      </c>
      <c r="N48" s="38">
        <f t="shared" si="3"/>
        <v>6.4437113225738959E-3</v>
      </c>
      <c r="O48" s="38">
        <f t="shared" si="4"/>
        <v>33.253330361574633</v>
      </c>
      <c r="P48" s="38">
        <f t="shared" si="5"/>
        <v>1.1580157781330199E-2</v>
      </c>
      <c r="Q48" s="76">
        <v>11798.368480700001</v>
      </c>
      <c r="R48" s="33">
        <v>512.62155013300003</v>
      </c>
      <c r="S48" s="39">
        <f t="shared" si="6"/>
        <v>5.6306134650263885E-3</v>
      </c>
      <c r="T48" s="40">
        <f t="shared" si="7"/>
        <v>162381.90927056945</v>
      </c>
      <c r="U48" s="28">
        <f t="shared" si="8"/>
        <v>154677.239582435</v>
      </c>
      <c r="V48" s="28" t="e">
        <f>(#REF!*$C$13)+$B$34</f>
        <v>#REF!</v>
      </c>
      <c r="W48" s="28" t="e">
        <f t="shared" si="9"/>
        <v>#REF!</v>
      </c>
      <c r="X48" s="28" t="e">
        <f t="shared" si="10"/>
        <v>#REF!</v>
      </c>
      <c r="Y48" s="28" t="e">
        <f t="shared" si="11"/>
        <v>#REF!</v>
      </c>
      <c r="Z48" s="28" t="e">
        <f t="shared" si="12"/>
        <v>#REF!</v>
      </c>
      <c r="AA48" s="16" t="e">
        <f t="shared" si="0"/>
        <v>#REF!</v>
      </c>
      <c r="AE48" s="41" t="e" cm="1">
        <f t="array" ref="AE48">_xlfn.IFS($V48&gt;$W$3,($W$3+$Y$101),$V48&lt;$X$3,($V48+$X48+$Y$101), $V48&lt;$W$3,$V48+$Y$101,$V48&gt;$X$3,$V48+$Y$101)</f>
        <v>#REF!</v>
      </c>
      <c r="AF48" s="41">
        <v>265568.14843333449</v>
      </c>
      <c r="AG48" s="41">
        <v>216857.34816979931</v>
      </c>
      <c r="AH48" s="41">
        <v>219519.01992528519</v>
      </c>
      <c r="AI48" s="41">
        <v>216129.07059660426</v>
      </c>
      <c r="AJ48" s="41">
        <v>221204.61363393269</v>
      </c>
      <c r="AK48" s="41">
        <v>228951.2239041033</v>
      </c>
      <c r="AL48" s="41">
        <v>236697.83417427386</v>
      </c>
      <c r="AM48" s="41">
        <v>240571.13930935916</v>
      </c>
      <c r="AN48" s="41"/>
      <c r="AO48" s="32" t="s">
        <v>115</v>
      </c>
      <c r="AP48" s="41">
        <f t="shared" si="13"/>
        <v>265568.14843333449</v>
      </c>
      <c r="AR48" s="41"/>
    </row>
    <row r="49" spans="1:44" x14ac:dyDescent="0.3">
      <c r="A49" s="80" t="s">
        <v>116</v>
      </c>
      <c r="B49" s="81">
        <v>355210</v>
      </c>
      <c r="C49" s="95">
        <f t="shared" ref="C49:C51" si="16">B49/$B$52</f>
        <v>6.2236865228565988E-2</v>
      </c>
      <c r="D49" s="42" t="s">
        <v>117</v>
      </c>
      <c r="E49" s="43">
        <v>412412.76971399999</v>
      </c>
      <c r="F49" s="43">
        <v>5204.4208952600002</v>
      </c>
      <c r="G49" s="43">
        <v>4772.92018276</v>
      </c>
      <c r="H49" s="43">
        <v>402435.42863600003</v>
      </c>
      <c r="I49" s="43">
        <v>0</v>
      </c>
      <c r="J49" s="44">
        <v>2139.3867780300002</v>
      </c>
      <c r="K49" s="35">
        <f t="shared" si="1"/>
        <v>400296.04185794998</v>
      </c>
      <c r="L49" s="36">
        <f t="shared" si="2"/>
        <v>9.9001194652980646E-3</v>
      </c>
      <c r="M49" s="45">
        <v>23400</v>
      </c>
      <c r="N49" s="38">
        <f t="shared" si="3"/>
        <v>4.1005913613507703E-3</v>
      </c>
      <c r="O49" s="38">
        <f t="shared" si="4"/>
        <v>28.602585059832304</v>
      </c>
      <c r="P49" s="38">
        <f t="shared" si="5"/>
        <v>9.9605797177390355E-3</v>
      </c>
      <c r="Q49" s="76">
        <v>30354.196981900001</v>
      </c>
      <c r="R49" s="43">
        <v>948.68971797500001</v>
      </c>
      <c r="S49" s="39">
        <f t="shared" si="6"/>
        <v>1.0420367810865956E-2</v>
      </c>
      <c r="T49" s="40">
        <f t="shared" si="7"/>
        <v>163124.38210788899</v>
      </c>
      <c r="U49" s="28">
        <f t="shared" si="8"/>
        <v>154334.39957330661</v>
      </c>
      <c r="V49" s="28" t="e">
        <f>(#REF!*$C$13)+$B$34</f>
        <v>#REF!</v>
      </c>
      <c r="W49" s="28" t="e">
        <f t="shared" si="9"/>
        <v>#REF!</v>
      </c>
      <c r="X49" s="28" t="e">
        <f t="shared" si="10"/>
        <v>#REF!</v>
      </c>
      <c r="Y49" s="28" t="e">
        <f t="shared" si="11"/>
        <v>#REF!</v>
      </c>
      <c r="Z49" s="28" t="e">
        <f t="shared" si="12"/>
        <v>#REF!</v>
      </c>
      <c r="AA49" s="16" t="e">
        <f t="shared" si="0"/>
        <v>#REF!</v>
      </c>
      <c r="AE49" s="41" t="e" cm="1">
        <f t="array" ref="AE49">_xlfn.IFS($V49&gt;$W$3,($W$3+$Y$101),$V49&lt;$X$3,($V49+$X49+$Y$101), $V49&lt;$W$3,$V49+$Y$101,$V49&gt;$X$3,$V49+$Y$101)</f>
        <v>#REF!</v>
      </c>
      <c r="AF49" s="41">
        <v>222541.89184950391</v>
      </c>
      <c r="AG49" s="41">
        <v>225927.62023858694</v>
      </c>
      <c r="AH49" s="41">
        <v>222396.83702681886</v>
      </c>
      <c r="AI49" s="41">
        <v>210365.34848392912</v>
      </c>
      <c r="AJ49" s="41">
        <v>234810.02173711415</v>
      </c>
      <c r="AK49" s="41">
        <v>238021.49597289093</v>
      </c>
      <c r="AL49" s="41">
        <v>241232.97020866768</v>
      </c>
      <c r="AM49" s="41">
        <v>242838.70732655606</v>
      </c>
      <c r="AN49" s="41"/>
      <c r="AO49" s="42" t="s">
        <v>117</v>
      </c>
      <c r="AP49" s="41">
        <f t="shared" si="13"/>
        <v>222541.89184950391</v>
      </c>
      <c r="AR49" s="41"/>
    </row>
    <row r="50" spans="1:44" x14ac:dyDescent="0.3">
      <c r="A50" s="80" t="s">
        <v>118</v>
      </c>
      <c r="B50" s="81">
        <v>704895</v>
      </c>
      <c r="C50" s="95">
        <f t="shared" si="16"/>
        <v>0.12350568710140486</v>
      </c>
      <c r="D50" s="32" t="s">
        <v>119</v>
      </c>
      <c r="E50" s="33">
        <v>435736.877722</v>
      </c>
      <c r="F50" s="33">
        <v>411.29730854399997</v>
      </c>
      <c r="G50" s="33">
        <v>69233.506287700002</v>
      </c>
      <c r="H50" s="33">
        <v>366092.07412599999</v>
      </c>
      <c r="I50" s="33">
        <v>7775.1503239200001</v>
      </c>
      <c r="J50" s="34">
        <v>1768.12033729</v>
      </c>
      <c r="K50" s="35">
        <f t="shared" si="1"/>
        <v>356548.80346454604</v>
      </c>
      <c r="L50" s="36">
        <f t="shared" si="2"/>
        <v>8.8181630103669785E-3</v>
      </c>
      <c r="M50" s="37">
        <v>26459</v>
      </c>
      <c r="N50" s="38">
        <f t="shared" si="3"/>
        <v>4.6366473004264969E-3</v>
      </c>
      <c r="O50" s="38">
        <f t="shared" si="4"/>
        <v>29.798276254211878</v>
      </c>
      <c r="P50" s="38">
        <f t="shared" si="5"/>
        <v>1.0376967867079485E-2</v>
      </c>
      <c r="Q50" s="76">
        <v>71337.373909400005</v>
      </c>
      <c r="R50" s="33">
        <v>517.10013823400004</v>
      </c>
      <c r="S50" s="39">
        <f t="shared" si="6"/>
        <v>5.679806087652681E-3</v>
      </c>
      <c r="T50" s="40">
        <f t="shared" si="7"/>
        <v>162126.02964950303</v>
      </c>
      <c r="U50" s="28">
        <f t="shared" si="8"/>
        <v>153515.54879952356</v>
      </c>
      <c r="V50" s="28" t="e">
        <f>(#REF!*$C$13)+$B$34</f>
        <v>#REF!</v>
      </c>
      <c r="W50" s="28" t="e">
        <f t="shared" si="9"/>
        <v>#REF!</v>
      </c>
      <c r="X50" s="28" t="e">
        <f t="shared" si="10"/>
        <v>#REF!</v>
      </c>
      <c r="Y50" s="28" t="e">
        <f t="shared" si="11"/>
        <v>#REF!</v>
      </c>
      <c r="Z50" s="28" t="e">
        <f t="shared" si="12"/>
        <v>#REF!</v>
      </c>
      <c r="AA50" s="16" t="e">
        <f t="shared" si="0"/>
        <v>#REF!</v>
      </c>
      <c r="AE50" s="41" t="e" cm="1">
        <f t="array" ref="AE50">_xlfn.IFS($V50&gt;$W$3,($W$3+$Y$101),$V50&lt;$X$3,($V50+$X50+$Y$101), $V50&lt;$W$3,$V50+$Y$101,$V50&gt;$X$3,$V50+$Y$101)</f>
        <v>#REF!</v>
      </c>
      <c r="AF50" s="41">
        <v>218725.7448260269</v>
      </c>
      <c r="AG50" s="41">
        <v>222111.47321510993</v>
      </c>
      <c r="AH50" s="41">
        <v>218580.69000334185</v>
      </c>
      <c r="AI50" s="41">
        <v>211148.59271988264</v>
      </c>
      <c r="AJ50" s="41">
        <v>229085.8012018986</v>
      </c>
      <c r="AK50" s="41">
        <v>234205.34894941392</v>
      </c>
      <c r="AL50" s="41">
        <v>239324.89669692918</v>
      </c>
      <c r="AM50" s="41">
        <v>241884.67057068681</v>
      </c>
      <c r="AN50" s="41"/>
      <c r="AO50" s="32" t="s">
        <v>119</v>
      </c>
      <c r="AP50" s="41">
        <f t="shared" si="13"/>
        <v>218725.7448260269</v>
      </c>
      <c r="AR50" s="41"/>
    </row>
    <row r="51" spans="1:44" x14ac:dyDescent="0.3">
      <c r="A51" s="80" t="s">
        <v>120</v>
      </c>
      <c r="B51" s="81">
        <v>4479033</v>
      </c>
      <c r="C51" s="95">
        <f t="shared" si="16"/>
        <v>0.78477794311899884</v>
      </c>
      <c r="D51" s="42" t="s">
        <v>121</v>
      </c>
      <c r="E51" s="43">
        <v>737713.44823400001</v>
      </c>
      <c r="F51" s="43">
        <v>2320.0239628499999</v>
      </c>
      <c r="G51" s="43">
        <v>65290.554608300001</v>
      </c>
      <c r="H51" s="43">
        <v>670102.86966299999</v>
      </c>
      <c r="I51" s="43">
        <v>3701.5660084199999</v>
      </c>
      <c r="J51" s="44">
        <v>3575.89042728</v>
      </c>
      <c r="K51" s="35">
        <f t="shared" si="1"/>
        <v>662825.4132271501</v>
      </c>
      <c r="L51" s="36">
        <f t="shared" si="2"/>
        <v>1.6392994407656337E-2</v>
      </c>
      <c r="M51" s="45">
        <v>34010</v>
      </c>
      <c r="N51" s="38">
        <f t="shared" si="3"/>
        <v>5.9598765897239184E-3</v>
      </c>
      <c r="O51" s="38">
        <f t="shared" si="4"/>
        <v>32.399293791445587</v>
      </c>
      <c r="P51" s="38">
        <f t="shared" si="5"/>
        <v>1.128274762344272E-2</v>
      </c>
      <c r="Q51" s="76">
        <v>14021.6532886</v>
      </c>
      <c r="R51" s="43">
        <v>895.15467677599997</v>
      </c>
      <c r="S51" s="39">
        <f t="shared" si="6"/>
        <v>9.8323411784553109E-3</v>
      </c>
      <c r="T51" s="40">
        <f t="shared" si="7"/>
        <v>174846.94637998194</v>
      </c>
      <c r="U51" s="28">
        <f t="shared" si="8"/>
        <v>166862.63982940372</v>
      </c>
      <c r="V51" s="28" t="e">
        <f>(#REF!*$C$13)+$B$34</f>
        <v>#REF!</v>
      </c>
      <c r="W51" s="28" t="e">
        <f t="shared" si="9"/>
        <v>#REF!</v>
      </c>
      <c r="X51" s="28" t="e">
        <f t="shared" si="10"/>
        <v>#REF!</v>
      </c>
      <c r="Y51" s="28" t="e">
        <f t="shared" si="11"/>
        <v>#REF!</v>
      </c>
      <c r="Z51" s="28" t="e">
        <f t="shared" si="12"/>
        <v>#REF!</v>
      </c>
      <c r="AA51" s="16" t="e">
        <f t="shared" si="0"/>
        <v>#REF!</v>
      </c>
      <c r="AE51" s="41" t="e" cm="1">
        <f t="array" ref="AE51">_xlfn.IFS($V51&gt;$W$3,($W$3+$Y$101),$V51&lt;$X$3,($V51+$X51+$Y$101), $V51&lt;$W$3,$V51+$Y$101,$V51&gt;$X$3,$V51+$Y$101)</f>
        <v>#REF!</v>
      </c>
      <c r="AF51" s="41">
        <v>250785.35653992256</v>
      </c>
      <c r="AG51" s="41">
        <v>254171.08492900559</v>
      </c>
      <c r="AH51" s="41">
        <v>256832.75668449147</v>
      </c>
      <c r="AI51" s="41">
        <v>232671.27710799794</v>
      </c>
      <c r="AJ51" s="41">
        <v>277175.21877274208</v>
      </c>
      <c r="AK51" s="41">
        <v>266264.96066330955</v>
      </c>
      <c r="AL51" s="41">
        <v>255354.702553877</v>
      </c>
      <c r="AM51" s="41">
        <v>249899.57349916073</v>
      </c>
      <c r="AN51" s="41"/>
      <c r="AO51" s="42" t="s">
        <v>121</v>
      </c>
      <c r="AP51" s="41">
        <f t="shared" si="13"/>
        <v>250785.35653992256</v>
      </c>
      <c r="AR51" s="41"/>
    </row>
    <row r="52" spans="1:44" x14ac:dyDescent="0.3">
      <c r="A52" s="96" t="s">
        <v>122</v>
      </c>
      <c r="B52" s="83">
        <f>SUM(B48:B51)</f>
        <v>5707389</v>
      </c>
      <c r="C52" s="95">
        <f>SUM(C48:C51)</f>
        <v>1</v>
      </c>
      <c r="D52" s="32" t="s">
        <v>123</v>
      </c>
      <c r="E52" s="33">
        <v>455011.56692999997</v>
      </c>
      <c r="F52" s="33">
        <v>146.53302004700001</v>
      </c>
      <c r="G52" s="33">
        <v>3346.3199249099998</v>
      </c>
      <c r="H52" s="33">
        <v>451518.71398499998</v>
      </c>
      <c r="I52" s="33">
        <v>0</v>
      </c>
      <c r="J52" s="34">
        <v>2989.8696977</v>
      </c>
      <c r="K52" s="35">
        <f t="shared" si="1"/>
        <v>448528.84428734297</v>
      </c>
      <c r="L52" s="36">
        <f t="shared" si="2"/>
        <v>1.1093012864844992E-2</v>
      </c>
      <c r="M52" s="37">
        <v>40029</v>
      </c>
      <c r="N52" s="38">
        <f t="shared" si="3"/>
        <v>7.0146398121158108E-3</v>
      </c>
      <c r="O52" s="38">
        <f t="shared" si="4"/>
        <v>34.207781820733402</v>
      </c>
      <c r="P52" s="38">
        <f t="shared" si="5"/>
        <v>1.1912536474576851E-2</v>
      </c>
      <c r="Q52" s="76">
        <v>207.17009678900001</v>
      </c>
      <c r="R52" s="33">
        <v>429.93661612</v>
      </c>
      <c r="S52" s="39">
        <f t="shared" si="6"/>
        <v>4.7224056405843129E-3</v>
      </c>
      <c r="T52" s="40">
        <f t="shared" si="7"/>
        <v>167841.65734246612</v>
      </c>
      <c r="U52" s="28">
        <f t="shared" si="8"/>
        <v>160494.81234877455</v>
      </c>
      <c r="V52" s="28" t="e">
        <f>(#REF!*$C$13)+$B$34</f>
        <v>#REF!</v>
      </c>
      <c r="W52" s="28" t="e">
        <f t="shared" si="9"/>
        <v>#REF!</v>
      </c>
      <c r="X52" s="28" t="e">
        <f t="shared" si="10"/>
        <v>#REF!</v>
      </c>
      <c r="Y52" s="28" t="e">
        <f t="shared" si="11"/>
        <v>#REF!</v>
      </c>
      <c r="Z52" s="28" t="e">
        <f t="shared" si="12"/>
        <v>#REF!</v>
      </c>
      <c r="AA52" s="16" t="e">
        <f t="shared" si="0"/>
        <v>#REF!</v>
      </c>
      <c r="AE52" s="41" t="e" cm="1">
        <f t="array" ref="AE52">_xlfn.IFS($V52&gt;$W$3,($W$3+$Y$101),$V52&lt;$X$3,($V52+$X52+$Y$101), $V52&lt;$W$3,$V52+$Y$101,$V52&gt;$X$3,$V52+$Y$101)</f>
        <v>#REF!</v>
      </c>
      <c r="AF52" s="41">
        <v>279755.26178943756</v>
      </c>
      <c r="AG52" s="41">
        <v>231044.46152590238</v>
      </c>
      <c r="AH52" s="41">
        <v>233706.13328138826</v>
      </c>
      <c r="AI52" s="41">
        <v>225861.5217605767</v>
      </c>
      <c r="AJ52" s="41">
        <v>242485.2836680873</v>
      </c>
      <c r="AK52" s="41">
        <v>243138.33726020638</v>
      </c>
      <c r="AL52" s="41">
        <v>243791.39085232539</v>
      </c>
      <c r="AM52" s="41">
        <v>244117.91764838493</v>
      </c>
      <c r="AN52" s="41"/>
      <c r="AO52" s="32" t="s">
        <v>123</v>
      </c>
      <c r="AP52" s="41">
        <f t="shared" si="13"/>
        <v>279755.26178943756</v>
      </c>
      <c r="AR52" s="41"/>
    </row>
    <row r="53" spans="1:44" x14ac:dyDescent="0.3">
      <c r="A53" s="79"/>
      <c r="B53" s="79"/>
      <c r="C53" s="79"/>
      <c r="D53" s="42" t="s">
        <v>124</v>
      </c>
      <c r="E53" s="43">
        <v>460646.42764800001</v>
      </c>
      <c r="F53" s="43">
        <v>3163.33091285</v>
      </c>
      <c r="G53" s="43">
        <v>13853.0584669</v>
      </c>
      <c r="H53" s="43">
        <v>443630.038268</v>
      </c>
      <c r="I53" s="43">
        <v>0</v>
      </c>
      <c r="J53" s="44">
        <v>977.58962658200005</v>
      </c>
      <c r="K53" s="35">
        <f t="shared" si="1"/>
        <v>442652.44864166802</v>
      </c>
      <c r="L53" s="36">
        <f t="shared" si="2"/>
        <v>1.0947677880648011E-2</v>
      </c>
      <c r="M53" s="45">
        <v>8179</v>
      </c>
      <c r="N53" s="38">
        <f t="shared" si="3"/>
        <v>1.4332793480550405E-3</v>
      </c>
      <c r="O53" s="38">
        <f t="shared" si="4"/>
        <v>20.148067758407194</v>
      </c>
      <c r="P53" s="38">
        <f t="shared" si="5"/>
        <v>7.0163740321448802E-3</v>
      </c>
      <c r="Q53" s="76">
        <v>12913.4590303</v>
      </c>
      <c r="R53" s="43">
        <v>773.36075960400001</v>
      </c>
      <c r="S53" s="39">
        <f t="shared" si="6"/>
        <v>8.494561934080885E-3</v>
      </c>
      <c r="T53" s="40">
        <f t="shared" si="7"/>
        <v>160279.41120252269</v>
      </c>
      <c r="U53" s="28">
        <f t="shared" si="8"/>
        <v>151904.76917638793</v>
      </c>
      <c r="V53" s="28" t="e">
        <f>(#REF!*$C$13)+$B$34</f>
        <v>#REF!</v>
      </c>
      <c r="W53" s="28" t="e">
        <f t="shared" si="9"/>
        <v>#REF!</v>
      </c>
      <c r="X53" s="28" t="e">
        <f t="shared" si="10"/>
        <v>#REF!</v>
      </c>
      <c r="Y53" s="28" t="e">
        <f t="shared" si="11"/>
        <v>#REF!</v>
      </c>
      <c r="Z53" s="28" t="e">
        <f t="shared" si="12"/>
        <v>#REF!</v>
      </c>
      <c r="AA53" s="16" t="e">
        <f t="shared" si="0"/>
        <v>#REF!</v>
      </c>
      <c r="AE53" s="41" t="e" cm="1">
        <f t="array" ref="AE53">_xlfn.IFS($V53&gt;$W$3,($W$3+$Y$101),$V53&lt;$X$3,($V53+$X53+$Y$101), $V53&lt;$W$3,$V53+$Y$101,$V53&gt;$X$3,$V53+$Y$101)</f>
        <v>#REF!</v>
      </c>
      <c r="AF53" s="41">
        <v>221377.61157111311</v>
      </c>
      <c r="AG53" s="41">
        <v>220890.26622869837</v>
      </c>
      <c r="AH53" s="41">
        <v>220569.39392113066</v>
      </c>
      <c r="AI53" s="41">
        <v>200869.25584922644</v>
      </c>
      <c r="AJ53" s="41">
        <v>241550.17574321377</v>
      </c>
      <c r="AK53" s="41">
        <v>242514.93197695733</v>
      </c>
      <c r="AL53" s="41">
        <v>243479.6882107009</v>
      </c>
      <c r="AM53" s="41">
        <v>243962.06632757265</v>
      </c>
      <c r="AN53" s="41"/>
      <c r="AO53" s="42" t="s">
        <v>124</v>
      </c>
      <c r="AP53" s="41">
        <f t="shared" si="13"/>
        <v>221377.61157111311</v>
      </c>
      <c r="AR53" s="41"/>
    </row>
    <row r="54" spans="1:44" x14ac:dyDescent="0.3">
      <c r="A54" s="80" t="s">
        <v>125</v>
      </c>
      <c r="B54" s="79" t="s">
        <v>126</v>
      </c>
      <c r="C54" s="79" t="s">
        <v>112</v>
      </c>
      <c r="D54" s="32" t="s">
        <v>127</v>
      </c>
      <c r="E54" s="33">
        <v>298359.55510900001</v>
      </c>
      <c r="F54" s="33">
        <v>0.39702815183200002</v>
      </c>
      <c r="G54" s="33">
        <v>5255.6690487699998</v>
      </c>
      <c r="H54" s="33">
        <v>293103.48903200001</v>
      </c>
      <c r="I54" s="33">
        <v>0</v>
      </c>
      <c r="J54" s="34">
        <v>2694.41242311</v>
      </c>
      <c r="K54" s="35">
        <f t="shared" si="1"/>
        <v>290409.0766089682</v>
      </c>
      <c r="L54" s="36">
        <f t="shared" si="2"/>
        <v>7.1823956562027218E-3</v>
      </c>
      <c r="M54" s="37">
        <v>34454</v>
      </c>
      <c r="N54" s="38">
        <f t="shared" si="3"/>
        <v>6.0376826822213427E-3</v>
      </c>
      <c r="O54" s="38">
        <f t="shared" si="4"/>
        <v>32.539675411145119</v>
      </c>
      <c r="P54" s="38">
        <f t="shared" si="5"/>
        <v>1.1331634194743794E-2</v>
      </c>
      <c r="Q54" s="76">
        <v>14451.606777700001</v>
      </c>
      <c r="R54" s="33">
        <v>335.23712790899998</v>
      </c>
      <c r="S54" s="39">
        <f t="shared" si="6"/>
        <v>3.6822304600566485E-3</v>
      </c>
      <c r="T54" s="40">
        <f t="shared" si="7"/>
        <v>161104.37810975313</v>
      </c>
      <c r="U54" s="28">
        <f t="shared" si="8"/>
        <v>153163.45084096945</v>
      </c>
      <c r="V54" s="28" t="e">
        <f>(#REF!*$C$13)+$B$34</f>
        <v>#REF!</v>
      </c>
      <c r="W54" s="28" t="e">
        <f t="shared" si="9"/>
        <v>#REF!</v>
      </c>
      <c r="X54" s="28" t="e">
        <f t="shared" si="10"/>
        <v>#REF!</v>
      </c>
      <c r="Y54" s="28" t="e">
        <f t="shared" si="11"/>
        <v>#REF!</v>
      </c>
      <c r="Z54" s="28" t="e">
        <f t="shared" si="12"/>
        <v>#REF!</v>
      </c>
      <c r="AA54" s="16" t="e">
        <f t="shared" si="0"/>
        <v>#REF!</v>
      </c>
      <c r="AE54" s="41" t="e" cm="1">
        <f t="array" ref="AE54">_xlfn.IFS($V54&gt;$W$3,($W$3+$Y$101),$V54&lt;$X$3,($V54+$X54+$Y$101), $V54&lt;$W$3,$V54+$Y$101,$V54&gt;$X$3,$V54+$Y$101)</f>
        <v>#REF!</v>
      </c>
      <c r="AF54" s="41">
        <v>210884.38632622667</v>
      </c>
      <c r="AG54" s="41">
        <v>214270.1147153097</v>
      </c>
      <c r="AH54" s="41">
        <v>216931.78647079557</v>
      </c>
      <c r="AI54" s="41">
        <v>212982.90831000573</v>
      </c>
      <c r="AJ54" s="41">
        <v>217323.7634521983</v>
      </c>
      <c r="AK54" s="41">
        <v>226363.99044961372</v>
      </c>
      <c r="AL54" s="41">
        <v>235404.21744702908</v>
      </c>
      <c r="AM54" s="41">
        <v>239924.33094573676</v>
      </c>
      <c r="AN54" s="41"/>
      <c r="AO54" s="32" t="s">
        <v>127</v>
      </c>
      <c r="AP54" s="41">
        <f t="shared" si="13"/>
        <v>210884.38632622667</v>
      </c>
      <c r="AR54" s="41"/>
    </row>
    <row r="55" spans="1:44" x14ac:dyDescent="0.3">
      <c r="A55" s="80" t="s">
        <v>128</v>
      </c>
      <c r="B55" s="81">
        <v>116691</v>
      </c>
      <c r="C55" s="82">
        <f>B55/$B$60</f>
        <v>2.044559772505471E-2</v>
      </c>
      <c r="D55" s="42" t="s">
        <v>129</v>
      </c>
      <c r="E55" s="43">
        <v>462652.02688700001</v>
      </c>
      <c r="F55" s="43">
        <v>745.37350899399996</v>
      </c>
      <c r="G55" s="43">
        <v>7644.26916506</v>
      </c>
      <c r="H55" s="43">
        <v>454262.38421300001</v>
      </c>
      <c r="I55" s="43">
        <v>0</v>
      </c>
      <c r="J55" s="44">
        <v>1502.7019432300001</v>
      </c>
      <c r="K55" s="35">
        <f t="shared" si="1"/>
        <v>452759.682269716</v>
      </c>
      <c r="L55" s="36">
        <f t="shared" si="2"/>
        <v>1.1197649926129443E-2</v>
      </c>
      <c r="M55" s="45">
        <v>22290</v>
      </c>
      <c r="N55" s="38">
        <f t="shared" si="3"/>
        <v>3.9060761301072076E-3</v>
      </c>
      <c r="O55" s="38">
        <f t="shared" si="4"/>
        <v>28.142976162365105</v>
      </c>
      <c r="P55" s="38">
        <f t="shared" si="5"/>
        <v>9.8005252662750238E-3</v>
      </c>
      <c r="Q55" s="76">
        <v>5325.6553847200003</v>
      </c>
      <c r="R55" s="43">
        <v>665.94722236600001</v>
      </c>
      <c r="S55" s="39">
        <f t="shared" si="6"/>
        <v>7.3147361757968663E-3</v>
      </c>
      <c r="T55" s="40">
        <f t="shared" si="7"/>
        <v>164830.59612194003</v>
      </c>
      <c r="U55" s="28">
        <f t="shared" si="8"/>
        <v>155988.92241768833</v>
      </c>
      <c r="V55" s="28" t="e">
        <f>(#REF!*$C$13)+$B$34</f>
        <v>#REF!</v>
      </c>
      <c r="W55" s="28" t="e">
        <f t="shared" si="9"/>
        <v>#REF!</v>
      </c>
      <c r="X55" s="28" t="e">
        <f t="shared" si="10"/>
        <v>#REF!</v>
      </c>
      <c r="Y55" s="28" t="e">
        <f t="shared" si="11"/>
        <v>#REF!</v>
      </c>
      <c r="Z55" s="28" t="e">
        <f t="shared" si="12"/>
        <v>#REF!</v>
      </c>
      <c r="AA55" s="16" t="e">
        <f t="shared" si="0"/>
        <v>#REF!</v>
      </c>
      <c r="AE55" s="41" t="e" cm="1">
        <f t="array" ref="AE55">_xlfn.IFS($V55&gt;$W$3,($W$3+$Y$101),$V55&lt;$X$3,($V55+$X55+$Y$101), $V55&lt;$W$3,$V55+$Y$101,$V55&gt;$X$3,$V55+$Y$101)</f>
        <v>#REF!</v>
      </c>
      <c r="AF55" s="41">
        <v>228107.56723680432</v>
      </c>
      <c r="AG55" s="41">
        <v>231493.29562588735</v>
      </c>
      <c r="AH55" s="41">
        <v>227962.51241411926</v>
      </c>
      <c r="AI55" s="41">
        <v>212080.44768415237</v>
      </c>
      <c r="AJ55" s="41">
        <v>243158.53481806471</v>
      </c>
      <c r="AK55" s="41">
        <v>243587.17136019131</v>
      </c>
      <c r="AL55" s="41">
        <v>244015.80790231787</v>
      </c>
      <c r="AM55" s="41">
        <v>244230.12617338117</v>
      </c>
      <c r="AN55" s="41"/>
      <c r="AO55" s="42" t="s">
        <v>129</v>
      </c>
      <c r="AP55" s="41">
        <f t="shared" si="13"/>
        <v>228107.56723680432</v>
      </c>
      <c r="AR55" s="41"/>
    </row>
    <row r="56" spans="1:44" x14ac:dyDescent="0.3">
      <c r="A56" s="80" t="s">
        <v>130</v>
      </c>
      <c r="B56" s="81">
        <v>231601</v>
      </c>
      <c r="C56" s="82">
        <f t="shared" ref="C56:C59" si="17">B56/$B$60</f>
        <v>4.0579143881879456E-2</v>
      </c>
      <c r="D56" s="32" t="s">
        <v>131</v>
      </c>
      <c r="E56" s="33">
        <v>561640.03153299994</v>
      </c>
      <c r="F56" s="33">
        <v>1732.8728811599999</v>
      </c>
      <c r="G56" s="33">
        <v>12192.767503900001</v>
      </c>
      <c r="H56" s="33">
        <v>547714.39114800002</v>
      </c>
      <c r="I56" s="33">
        <v>0</v>
      </c>
      <c r="J56" s="34">
        <v>2633.2513077100002</v>
      </c>
      <c r="K56" s="35">
        <f t="shared" si="1"/>
        <v>545081.13984023</v>
      </c>
      <c r="L56" s="36">
        <f t="shared" si="2"/>
        <v>1.3480943697699827E-2</v>
      </c>
      <c r="M56" s="37">
        <v>6441</v>
      </c>
      <c r="N56" s="38">
        <f t="shared" si="3"/>
        <v>1.1287140580538593E-3</v>
      </c>
      <c r="O56" s="38">
        <f t="shared" si="4"/>
        <v>18.605917876446547</v>
      </c>
      <c r="P56" s="38">
        <f t="shared" si="5"/>
        <v>6.479334921734455E-3</v>
      </c>
      <c r="Q56" s="76">
        <v>1605.9662774999999</v>
      </c>
      <c r="R56" s="33">
        <v>540.44413754699997</v>
      </c>
      <c r="S56" s="39">
        <f t="shared" si="6"/>
        <v>5.9362155905798237E-3</v>
      </c>
      <c r="T56" s="40">
        <f t="shared" si="7"/>
        <v>163273.75126248476</v>
      </c>
      <c r="U56" s="28">
        <f t="shared" si="8"/>
        <v>155247.81996696387</v>
      </c>
      <c r="V56" s="28" t="e">
        <f>(#REF!*$C$13)+$B$34</f>
        <v>#REF!</v>
      </c>
      <c r="W56" s="28" t="e">
        <f t="shared" si="9"/>
        <v>#REF!</v>
      </c>
      <c r="X56" s="28" t="e">
        <f t="shared" si="10"/>
        <v>#REF!</v>
      </c>
      <c r="Y56" s="28" t="e">
        <f t="shared" si="11"/>
        <v>#REF!</v>
      </c>
      <c r="Z56" s="28" t="e">
        <f t="shared" si="12"/>
        <v>#REF!</v>
      </c>
      <c r="AA56" s="16" t="e">
        <f t="shared" si="0"/>
        <v>#REF!</v>
      </c>
      <c r="AE56" s="41" t="e" cm="1">
        <f t="array" ref="AE56">_xlfn.IFS($V56&gt;$W$3,($W$3+$Y$101),$V56&lt;$X$3,($V56+$X56+$Y$101), $V56&lt;$W$3,$V56+$Y$101,$V56&gt;$X$3,$V56+$Y$101)</f>
        <v>#REF!</v>
      </c>
      <c r="AF56" s="41">
        <v>232243.89612710013</v>
      </c>
      <c r="AG56" s="41">
        <v>231756.55078468539</v>
      </c>
      <c r="AH56" s="41">
        <v>231435.67847711768</v>
      </c>
      <c r="AI56" s="41">
        <v>204970.23053397681</v>
      </c>
      <c r="AJ56" s="41">
        <v>257849.60257719428</v>
      </c>
      <c r="AK56" s="41">
        <v>253381.21653294435</v>
      </c>
      <c r="AL56" s="41">
        <v>248912.8304886944</v>
      </c>
      <c r="AM56" s="41">
        <v>246678.63746656943</v>
      </c>
      <c r="AN56" s="41"/>
      <c r="AO56" s="32" t="s">
        <v>131</v>
      </c>
      <c r="AP56" s="41">
        <f t="shared" si="13"/>
        <v>232243.89612710013</v>
      </c>
      <c r="AR56" s="41"/>
    </row>
    <row r="57" spans="1:44" x14ac:dyDescent="0.3">
      <c r="A57" s="80" t="s">
        <v>132</v>
      </c>
      <c r="B57" s="81">
        <v>411856</v>
      </c>
      <c r="C57" s="82">
        <f t="shared" si="17"/>
        <v>7.2161881350319493E-2</v>
      </c>
      <c r="D57" s="42" t="s">
        <v>133</v>
      </c>
      <c r="E57" s="43">
        <v>418738.93176000001</v>
      </c>
      <c r="F57" s="43">
        <v>60.215802489799998</v>
      </c>
      <c r="G57" s="43">
        <v>5923.9607481900002</v>
      </c>
      <c r="H57" s="43">
        <v>412754.75520999997</v>
      </c>
      <c r="I57" s="43">
        <v>1174.5206319900001</v>
      </c>
      <c r="J57" s="44">
        <v>11513.064232000001</v>
      </c>
      <c r="K57" s="35">
        <f t="shared" si="1"/>
        <v>400067.17034533026</v>
      </c>
      <c r="L57" s="36">
        <f t="shared" si="2"/>
        <v>9.8944590163297912E-3</v>
      </c>
      <c r="M57" s="45">
        <v>162847</v>
      </c>
      <c r="N57" s="38">
        <f t="shared" si="3"/>
        <v>2.853713681290123E-2</v>
      </c>
      <c r="O57" s="38">
        <f t="shared" si="4"/>
        <v>54.608458930855726</v>
      </c>
      <c r="P57" s="38">
        <f t="shared" si="5"/>
        <v>1.9016879324223419E-2</v>
      </c>
      <c r="Q57" s="76">
        <v>800.16775983800005</v>
      </c>
      <c r="R57" s="43">
        <v>476.40661420999999</v>
      </c>
      <c r="S57" s="39">
        <f t="shared" si="6"/>
        <v>5.2328301377546288E-3</v>
      </c>
      <c r="T57" s="40">
        <f t="shared" si="7"/>
        <v>176700.34084416315</v>
      </c>
      <c r="U57" s="28">
        <f t="shared" si="8"/>
        <v>190980.72707717988</v>
      </c>
      <c r="V57" s="28" t="e">
        <f>(#REF!*$C$13)+$B$34</f>
        <v>#REF!</v>
      </c>
      <c r="W57" s="28" t="e">
        <f t="shared" si="9"/>
        <v>#REF!</v>
      </c>
      <c r="X57" s="28" t="e">
        <f t="shared" si="10"/>
        <v>#REF!</v>
      </c>
      <c r="Y57" s="28" t="e">
        <f t="shared" si="11"/>
        <v>#REF!</v>
      </c>
      <c r="Z57" s="28" t="e">
        <f t="shared" si="12"/>
        <v>#REF!</v>
      </c>
      <c r="AA57" s="16" t="e">
        <f t="shared" si="0"/>
        <v>#REF!</v>
      </c>
      <c r="AE57" s="41" t="e" cm="1">
        <f t="array" ref="AE57">_xlfn.IFS($V57&gt;$W$3,($W$3+$Y$101),$V57&lt;$X$3,($V57+$X57+$Y$101), $V57&lt;$W$3,$V57+$Y$101,$V57&gt;$X$3,$V57+$Y$101)</f>
        <v>#REF!</v>
      </c>
      <c r="AF57" s="41">
        <v>274738.74095238809</v>
      </c>
      <c r="AG57" s="41">
        <v>288743.08827705146</v>
      </c>
      <c r="AH57" s="41">
        <v>304608.98870719958</v>
      </c>
      <c r="AI57" s="41">
        <v>318392.00935121207</v>
      </c>
      <c r="AJ57" s="41">
        <v>234960.50241251313</v>
      </c>
      <c r="AK57" s="41">
        <v>238121.81642315691</v>
      </c>
      <c r="AL57" s="41">
        <v>241283.13043380069</v>
      </c>
      <c r="AM57" s="41">
        <v>242863.78743912256</v>
      </c>
      <c r="AN57" s="41"/>
      <c r="AO57" s="42" t="s">
        <v>133</v>
      </c>
      <c r="AP57" s="41">
        <f t="shared" si="13"/>
        <v>274738.74095238809</v>
      </c>
      <c r="AR57" s="41"/>
    </row>
    <row r="58" spans="1:44" x14ac:dyDescent="0.3">
      <c r="A58" s="80" t="s">
        <v>134</v>
      </c>
      <c r="B58" s="81">
        <v>701024</v>
      </c>
      <c r="C58" s="82">
        <f t="shared" si="17"/>
        <v>0.12282742199148823</v>
      </c>
      <c r="D58" s="32" t="s">
        <v>135</v>
      </c>
      <c r="E58" s="33">
        <v>712909.51929299999</v>
      </c>
      <c r="F58" s="33">
        <v>3886.9857056000001</v>
      </c>
      <c r="G58" s="33">
        <v>9823.59939863</v>
      </c>
      <c r="H58" s="33">
        <v>699198.93418900005</v>
      </c>
      <c r="I58" s="33">
        <v>0</v>
      </c>
      <c r="J58" s="34">
        <v>4314.5439700099996</v>
      </c>
      <c r="K58" s="35">
        <f t="shared" si="1"/>
        <v>694884.39021876</v>
      </c>
      <c r="L58" s="36">
        <f t="shared" si="2"/>
        <v>1.7185876847060546E-2</v>
      </c>
      <c r="M58" s="37">
        <v>25399</v>
      </c>
      <c r="N58" s="38">
        <f t="shared" si="3"/>
        <v>4.4508940165362476E-3</v>
      </c>
      <c r="O58" s="38">
        <f t="shared" si="4"/>
        <v>29.394914819196494</v>
      </c>
      <c r="P58" s="38">
        <f t="shared" si="5"/>
        <v>1.0236501062413826E-2</v>
      </c>
      <c r="Q58" s="76">
        <v>74665.673414100005</v>
      </c>
      <c r="R58" s="33">
        <v>1443.5371946600001</v>
      </c>
      <c r="S58" s="39">
        <f t="shared" si="6"/>
        <v>1.5855751603517643E-2</v>
      </c>
      <c r="T58" s="40">
        <f t="shared" si="7"/>
        <v>174466.90019754489</v>
      </c>
      <c r="U58" s="28">
        <f t="shared" si="8"/>
        <v>165788.48962872854</v>
      </c>
      <c r="V58" s="28" t="e">
        <f>(#REF!*$C$13)+$B$34</f>
        <v>#REF!</v>
      </c>
      <c r="W58" s="28" t="e">
        <f t="shared" si="9"/>
        <v>#REF!</v>
      </c>
      <c r="X58" s="28" t="e">
        <f t="shared" si="10"/>
        <v>#REF!</v>
      </c>
      <c r="Y58" s="28" t="e">
        <f t="shared" si="11"/>
        <v>#REF!</v>
      </c>
      <c r="Z58" s="28" t="e">
        <f t="shared" si="12"/>
        <v>#REF!</v>
      </c>
      <c r="AA58" s="16" t="e">
        <f t="shared" si="0"/>
        <v>#REF!</v>
      </c>
      <c r="AE58" s="41" t="e" cm="1">
        <f t="array" ref="AE58">_xlfn.IFS($V58&gt;$W$3,($W$3+$Y$101),$V58&lt;$X$3,($V58+$X58+$Y$101), $V58&lt;$W$3,$V58+$Y$101,$V58&gt;$X$3,$V58+$Y$101)</f>
        <v>#REF!</v>
      </c>
      <c r="AF58" s="41">
        <v>253793.69037108586</v>
      </c>
      <c r="AG58" s="41">
        <v>257179.41876016889</v>
      </c>
      <c r="AH58" s="41">
        <v>253648.63554840081</v>
      </c>
      <c r="AI58" s="41">
        <v>231115.62158284924</v>
      </c>
      <c r="AJ58" s="41">
        <v>281687.71951948706</v>
      </c>
      <c r="AK58" s="41">
        <v>269273.29449447285</v>
      </c>
      <c r="AL58" s="41">
        <v>256858.86946945864</v>
      </c>
      <c r="AM58" s="41">
        <v>250651.65695695154</v>
      </c>
      <c r="AN58" s="41"/>
      <c r="AO58" s="32" t="s">
        <v>135</v>
      </c>
      <c r="AP58" s="41">
        <f t="shared" si="13"/>
        <v>253793.69037108586</v>
      </c>
      <c r="AR58" s="41"/>
    </row>
    <row r="59" spans="1:44" x14ac:dyDescent="0.3">
      <c r="A59" s="80" t="s">
        <v>136</v>
      </c>
      <c r="B59" s="81">
        <v>4246218</v>
      </c>
      <c r="C59" s="82">
        <f t="shared" si="17"/>
        <v>0.74398595505125809</v>
      </c>
      <c r="D59" s="42" t="s">
        <v>137</v>
      </c>
      <c r="E59" s="43">
        <v>711019.29773500003</v>
      </c>
      <c r="F59" s="43">
        <v>21199.794372200002</v>
      </c>
      <c r="G59" s="43">
        <v>18207.415803799999</v>
      </c>
      <c r="H59" s="43">
        <v>671612.08755900001</v>
      </c>
      <c r="I59" s="43">
        <v>0</v>
      </c>
      <c r="J59" s="44">
        <v>3882.26529097</v>
      </c>
      <c r="K59" s="35">
        <f t="shared" si="1"/>
        <v>667729.82226803002</v>
      </c>
      <c r="L59" s="36">
        <f t="shared" si="2"/>
        <v>1.6514290224587322E-2</v>
      </c>
      <c r="M59" s="45">
        <v>34682</v>
      </c>
      <c r="N59" s="38">
        <f t="shared" si="3"/>
        <v>6.0776371621524532E-3</v>
      </c>
      <c r="O59" s="38">
        <f t="shared" si="4"/>
        <v>32.611294968320209</v>
      </c>
      <c r="P59" s="38">
        <f t="shared" si="5"/>
        <v>1.1356575028136978E-2</v>
      </c>
      <c r="Q59" s="76">
        <v>96217.044057799998</v>
      </c>
      <c r="R59" s="43">
        <v>2187.8388225899998</v>
      </c>
      <c r="S59" s="39">
        <f t="shared" si="6"/>
        <v>2.4031129262097141E-2</v>
      </c>
      <c r="T59" s="40">
        <f t="shared" si="7"/>
        <v>175139.6312124198</v>
      </c>
      <c r="U59" s="28">
        <f t="shared" si="8"/>
        <v>167221.22441344301</v>
      </c>
      <c r="V59" s="28" t="e">
        <f>(#REF!*$C$13)+$B$34</f>
        <v>#REF!</v>
      </c>
      <c r="W59" s="28" t="e">
        <f t="shared" si="9"/>
        <v>#REF!</v>
      </c>
      <c r="X59" s="28" t="e">
        <f t="shared" si="10"/>
        <v>#REF!</v>
      </c>
      <c r="Y59" s="28" t="e">
        <f t="shared" si="11"/>
        <v>#REF!</v>
      </c>
      <c r="Z59" s="28" t="e">
        <f t="shared" si="12"/>
        <v>#REF!</v>
      </c>
      <c r="AA59" s="16" t="e">
        <f t="shared" si="0"/>
        <v>#REF!</v>
      </c>
      <c r="AE59" s="41" t="e" cm="1">
        <f t="array" ref="AE59">_xlfn.IFS($V59&gt;$W$3,($W$3+$Y$101),$V59&lt;$X$3,($V59+$X59+$Y$101), $V59&lt;$W$3,$V59+$Y$101,$V59&gt;$X$3,$V59+$Y$101)</f>
        <v>#REF!</v>
      </c>
      <c r="AF59" s="41">
        <v>250912.96175008343</v>
      </c>
      <c r="AG59" s="41">
        <v>254298.69013916646</v>
      </c>
      <c r="AH59" s="41">
        <v>256960.36189465233</v>
      </c>
      <c r="AI59" s="41">
        <v>229676.02820266821</v>
      </c>
      <c r="AJ59" s="41">
        <v>277366.62658798345</v>
      </c>
      <c r="AK59" s="41">
        <v>266392.56587347045</v>
      </c>
      <c r="AL59" s="41">
        <v>255418.50515895744</v>
      </c>
      <c r="AM59" s="41">
        <v>249931.47480170094</v>
      </c>
      <c r="AN59" s="41"/>
      <c r="AO59" s="42" t="s">
        <v>137</v>
      </c>
      <c r="AP59" s="41">
        <f t="shared" si="13"/>
        <v>250912.96175008343</v>
      </c>
      <c r="AR59" s="41"/>
    </row>
    <row r="60" spans="1:44" x14ac:dyDescent="0.3">
      <c r="A60" s="79"/>
      <c r="B60" s="83">
        <f>SUM(B55:B59)</f>
        <v>5707390</v>
      </c>
      <c r="C60" s="79"/>
      <c r="D60" s="32" t="s">
        <v>138</v>
      </c>
      <c r="E60" s="33">
        <v>396113.70043000003</v>
      </c>
      <c r="F60" s="33">
        <v>3.2344765950099998</v>
      </c>
      <c r="G60" s="33">
        <v>7858.7127467700002</v>
      </c>
      <c r="H60" s="33">
        <v>388251.75320699997</v>
      </c>
      <c r="I60" s="33">
        <v>582.07320923899999</v>
      </c>
      <c r="J60" s="34">
        <v>2229.48905135</v>
      </c>
      <c r="K60" s="35">
        <f t="shared" si="1"/>
        <v>385440.19094604603</v>
      </c>
      <c r="L60" s="36">
        <f t="shared" si="2"/>
        <v>9.5327046437478236E-3</v>
      </c>
      <c r="M60" s="37">
        <v>13992</v>
      </c>
      <c r="N60" s="38">
        <f t="shared" si="3"/>
        <v>2.4519433473512808E-3</v>
      </c>
      <c r="O60" s="38">
        <f t="shared" si="4"/>
        <v>24.096831019876703</v>
      </c>
      <c r="P60" s="38">
        <f t="shared" si="5"/>
        <v>8.391493489706834E-3</v>
      </c>
      <c r="Q60" s="76">
        <v>2842.04105153</v>
      </c>
      <c r="R60" s="33">
        <v>260.70838898800002</v>
      </c>
      <c r="S60" s="39">
        <f t="shared" si="6"/>
        <v>2.8636099381703912E-3</v>
      </c>
      <c r="T60" s="40">
        <f t="shared" si="7"/>
        <v>160219.63053351533</v>
      </c>
      <c r="U60" s="28">
        <f t="shared" si="8"/>
        <v>151310.305319982</v>
      </c>
      <c r="V60" s="28" t="e">
        <f>(#REF!*$C$13)+$B$34</f>
        <v>#REF!</v>
      </c>
      <c r="W60" s="28" t="e">
        <f t="shared" si="9"/>
        <v>#REF!</v>
      </c>
      <c r="X60" s="28" t="e">
        <f t="shared" si="10"/>
        <v>#REF!</v>
      </c>
      <c r="Y60" s="28" t="e">
        <f t="shared" si="11"/>
        <v>#REF!</v>
      </c>
      <c r="Z60" s="28" t="e">
        <f t="shared" si="12"/>
        <v>#REF!</v>
      </c>
      <c r="AA60" s="16" t="e">
        <f t="shared" si="0"/>
        <v>#REF!</v>
      </c>
      <c r="AE60" s="41" t="e" cm="1">
        <f t="array" ref="AE60">_xlfn.IFS($V60&gt;$W$3,($W$3+$Y$101),$V60&lt;$X$3,($V60+$X60+$Y$101), $V60&lt;$W$3,$V60+$Y$101,$V60&gt;$X$3,$V60+$Y$101)</f>
        <v>#REF!</v>
      </c>
      <c r="AF60" s="41">
        <v>215369.92278893216</v>
      </c>
      <c r="AG60" s="41">
        <v>218286.4852731885</v>
      </c>
      <c r="AH60" s="41">
        <v>217022.47189145052</v>
      </c>
      <c r="AI60" s="41">
        <v>202210.37474257947</v>
      </c>
      <c r="AJ60" s="41">
        <v>232538.64256994231</v>
      </c>
      <c r="AK60" s="41">
        <v>236507.24319477635</v>
      </c>
      <c r="AL60" s="41">
        <v>240475.8438196104</v>
      </c>
      <c r="AM60" s="41">
        <v>242460.14413202743</v>
      </c>
      <c r="AN60" s="41"/>
      <c r="AO60" s="32" t="s">
        <v>138</v>
      </c>
      <c r="AP60" s="41">
        <f t="shared" si="13"/>
        <v>215369.92278893216</v>
      </c>
      <c r="AR60" s="41"/>
    </row>
    <row r="61" spans="1:44" x14ac:dyDescent="0.3">
      <c r="A61" s="79"/>
      <c r="B61" s="79"/>
      <c r="C61" s="79"/>
      <c r="D61" s="42" t="s">
        <v>139</v>
      </c>
      <c r="E61" s="43">
        <v>917457.46700299997</v>
      </c>
      <c r="F61" s="43">
        <v>2822.6516168200001</v>
      </c>
      <c r="G61" s="43">
        <v>233804.36518299999</v>
      </c>
      <c r="H61" s="43">
        <v>680830.45020299999</v>
      </c>
      <c r="I61" s="43">
        <v>6611.2895168799996</v>
      </c>
      <c r="J61" s="44">
        <v>3915.8886135100001</v>
      </c>
      <c r="K61" s="35">
        <f t="shared" si="1"/>
        <v>670303.27207279007</v>
      </c>
      <c r="L61" s="36">
        <f t="shared" si="2"/>
        <v>1.6577936770745559E-2</v>
      </c>
      <c r="M61" s="45">
        <v>28876</v>
      </c>
      <c r="N61" s="38">
        <f t="shared" si="3"/>
        <v>5.0601998354856768E-3</v>
      </c>
      <c r="O61" s="38">
        <f t="shared" si="4"/>
        <v>30.679316352515229</v>
      </c>
      <c r="P61" s="38">
        <f t="shared" si="5"/>
        <v>1.0683781748248539E-2</v>
      </c>
      <c r="Q61" s="76">
        <v>11291.733882099999</v>
      </c>
      <c r="R61" s="43">
        <v>1152.4472689300001</v>
      </c>
      <c r="S61" s="39">
        <f t="shared" si="6"/>
        <v>1.2658432148407677E-2</v>
      </c>
      <c r="T61" s="40">
        <f t="shared" si="7"/>
        <v>174225.91111182451</v>
      </c>
      <c r="U61" s="28">
        <f t="shared" si="8"/>
        <v>165790.5382426802</v>
      </c>
      <c r="V61" s="28" t="e">
        <f>(#REF!*$C$13)+$B$34</f>
        <v>#REF!</v>
      </c>
      <c r="W61" s="28" t="e">
        <f t="shared" si="9"/>
        <v>#REF!</v>
      </c>
      <c r="X61" s="28" t="e">
        <f t="shared" si="10"/>
        <v>#REF!</v>
      </c>
      <c r="Y61" s="28" t="e">
        <f t="shared" si="11"/>
        <v>#REF!</v>
      </c>
      <c r="Z61" s="28" t="e">
        <f t="shared" si="12"/>
        <v>#REF!</v>
      </c>
      <c r="AA61" s="16" t="e">
        <f t="shared" si="0"/>
        <v>#REF!</v>
      </c>
      <c r="AE61" s="41" t="e" cm="1">
        <f t="array" ref="AE61">_xlfn.IFS($V61&gt;$W$3,($W$3+$Y$101),$V61&lt;$X$3,($V61+$X61+$Y$101), $V61&lt;$W$3,$V61+$Y$101,$V61&gt;$X$3,$V61+$Y$101)</f>
        <v>#REF!</v>
      </c>
      <c r="AF61" s="41">
        <v>251887.33709232058</v>
      </c>
      <c r="AG61" s="41">
        <v>255273.06548140361</v>
      </c>
      <c r="AH61" s="41">
        <v>251742.28226963553</v>
      </c>
      <c r="AI61" s="41">
        <v>229606.60418262848</v>
      </c>
      <c r="AJ61" s="41">
        <v>278828.18960133917</v>
      </c>
      <c r="AK61" s="41">
        <v>267366.94121570763</v>
      </c>
      <c r="AL61" s="41">
        <v>255905.69283007603</v>
      </c>
      <c r="AM61" s="41">
        <v>250175.06863726024</v>
      </c>
      <c r="AN61" s="41"/>
      <c r="AO61" s="42" t="s">
        <v>139</v>
      </c>
      <c r="AP61" s="41">
        <f t="shared" si="13"/>
        <v>251887.33709232058</v>
      </c>
      <c r="AR61" s="41"/>
    </row>
    <row r="62" spans="1:44" x14ac:dyDescent="0.3">
      <c r="A62" s="80" t="s">
        <v>140</v>
      </c>
      <c r="B62" s="79" t="s">
        <v>141</v>
      </c>
      <c r="C62" s="79" t="s">
        <v>112</v>
      </c>
      <c r="D62" s="32" t="s">
        <v>142</v>
      </c>
      <c r="E62" s="33">
        <v>298492.52485599997</v>
      </c>
      <c r="F62" s="33">
        <v>421.88465946500003</v>
      </c>
      <c r="G62" s="33">
        <v>4647.2233091600001</v>
      </c>
      <c r="H62" s="33">
        <v>293423.41688700003</v>
      </c>
      <c r="I62" s="33">
        <v>0</v>
      </c>
      <c r="J62" s="34">
        <v>1710.8918589699999</v>
      </c>
      <c r="K62" s="35">
        <f t="shared" si="1"/>
        <v>291712.52502840501</v>
      </c>
      <c r="L62" s="36">
        <f t="shared" si="2"/>
        <v>7.2146325352120261E-3</v>
      </c>
      <c r="M62" s="37">
        <v>9424</v>
      </c>
      <c r="N62" s="38">
        <f t="shared" si="3"/>
        <v>1.6514518371525493E-3</v>
      </c>
      <c r="O62" s="38">
        <f t="shared" si="4"/>
        <v>21.122488993467886</v>
      </c>
      <c r="P62" s="38">
        <f t="shared" si="5"/>
        <v>7.3557070109709789E-3</v>
      </c>
      <c r="Q62" s="76">
        <v>194.79130924200001</v>
      </c>
      <c r="R62" s="33">
        <v>413.39524227599998</v>
      </c>
      <c r="S62" s="39">
        <f t="shared" si="6"/>
        <v>4.5407158886183697E-3</v>
      </c>
      <c r="T62" s="40">
        <f t="shared" si="7"/>
        <v>155188.84265260785</v>
      </c>
      <c r="U62" s="28">
        <f t="shared" si="8"/>
        <v>146632.45989188019</v>
      </c>
      <c r="V62" s="28" t="e">
        <f>(#REF!*$C$13)+$B$34</f>
        <v>#REF!</v>
      </c>
      <c r="W62" s="28" t="e">
        <f t="shared" si="9"/>
        <v>#REF!</v>
      </c>
      <c r="X62" s="28" t="e">
        <f t="shared" si="10"/>
        <v>#REF!</v>
      </c>
      <c r="Y62" s="28" t="e">
        <f t="shared" si="11"/>
        <v>#REF!</v>
      </c>
      <c r="Z62" s="28" t="e">
        <f t="shared" si="12"/>
        <v>#REF!</v>
      </c>
      <c r="AA62" s="16" t="e">
        <f t="shared" si="0"/>
        <v>#REF!</v>
      </c>
      <c r="AE62" s="41" t="e" cm="1">
        <f t="array" ref="AE62">_xlfn.IFS($V62&gt;$W$3,($W$3+$Y$101),$V62&lt;$X$3,($V62+$X62+$Y$101), $V62&lt;$W$3,$V62+$Y$101,$V62&gt;$X$3,$V62+$Y$101)</f>
        <v>#REF!</v>
      </c>
      <c r="AF62" s="41">
        <v>205364.94811082195</v>
      </c>
      <c r="AG62" s="41">
        <v>204877.6027684072</v>
      </c>
      <c r="AH62" s="41">
        <v>204556.73046083949</v>
      </c>
      <c r="AI62" s="41">
        <v>193764.14166335241</v>
      </c>
      <c r="AJ62" s="41">
        <v>217531.18055277702</v>
      </c>
      <c r="AK62" s="41">
        <v>226502.26851666617</v>
      </c>
      <c r="AL62" s="41">
        <v>235473.35648055532</v>
      </c>
      <c r="AM62" s="41">
        <v>239958.90046249988</v>
      </c>
      <c r="AN62" s="41"/>
      <c r="AO62" s="32" t="s">
        <v>142</v>
      </c>
      <c r="AP62" s="41">
        <f t="shared" si="13"/>
        <v>205364.94811082195</v>
      </c>
      <c r="AR62" s="41"/>
    </row>
    <row r="63" spans="1:44" x14ac:dyDescent="0.3">
      <c r="A63" s="80" t="s">
        <v>143</v>
      </c>
      <c r="B63" s="81">
        <v>257387</v>
      </c>
      <c r="C63" s="82">
        <f>B63/$B$67</f>
        <v>4.5097145980912468E-2</v>
      </c>
      <c r="D63" s="42" t="s">
        <v>144</v>
      </c>
      <c r="E63" s="43">
        <v>484255.40876199998</v>
      </c>
      <c r="F63" s="43">
        <v>33724.629130000001</v>
      </c>
      <c r="G63" s="43">
        <v>18542.182776900001</v>
      </c>
      <c r="H63" s="43">
        <v>431988.59685500001</v>
      </c>
      <c r="I63" s="43">
        <v>0.258917098648</v>
      </c>
      <c r="J63" s="44">
        <v>2310.63015034</v>
      </c>
      <c r="K63" s="35">
        <f t="shared" si="1"/>
        <v>429677.70778766135</v>
      </c>
      <c r="L63" s="36">
        <f t="shared" si="2"/>
        <v>1.0626786662514176E-2</v>
      </c>
      <c r="M63" s="45">
        <v>8839</v>
      </c>
      <c r="N63" s="38">
        <f t="shared" si="3"/>
        <v>1.54893705311878E-3</v>
      </c>
      <c r="O63" s="38">
        <f t="shared" si="4"/>
        <v>20.676056549347887</v>
      </c>
      <c r="P63" s="38">
        <f t="shared" si="5"/>
        <v>7.2002411347594246E-3</v>
      </c>
      <c r="Q63" s="76">
        <v>16708.991208300002</v>
      </c>
      <c r="R63" s="43">
        <v>1139.2547223500001</v>
      </c>
      <c r="S63" s="39">
        <f t="shared" si="6"/>
        <v>1.2513525773730173E-2</v>
      </c>
      <c r="T63" s="40">
        <f t="shared" si="7"/>
        <v>160073.87502924373</v>
      </c>
      <c r="U63" s="28">
        <f t="shared" si="8"/>
        <v>151596.91890678278</v>
      </c>
      <c r="V63" s="28" t="e">
        <f>(#REF!*$C$13)+$B$34</f>
        <v>#REF!</v>
      </c>
      <c r="W63" s="28" t="e">
        <f t="shared" si="9"/>
        <v>#REF!</v>
      </c>
      <c r="X63" s="28" t="e">
        <f t="shared" si="10"/>
        <v>#REF!</v>
      </c>
      <c r="Y63" s="28" t="e">
        <f t="shared" si="11"/>
        <v>#REF!</v>
      </c>
      <c r="Z63" s="28" t="e">
        <f t="shared" si="12"/>
        <v>#REF!</v>
      </c>
      <c r="AA63" s="16" t="e">
        <f t="shared" si="0"/>
        <v>#REF!</v>
      </c>
      <c r="AE63" s="41" t="e" cm="1">
        <f t="array" ref="AE63">_xlfn.IFS($V63&gt;$W$3,($W$3+$Y$101),$V63&lt;$X$3,($V63+$X63+$Y$101), $V63&lt;$W$3,$V63+$Y$101,$V63&gt;$X$3,$V63+$Y$101)</f>
        <v>#REF!</v>
      </c>
      <c r="AF63" s="41">
        <v>225658.91260269444</v>
      </c>
      <c r="AG63" s="41">
        <v>222917.75880449358</v>
      </c>
      <c r="AH63" s="41">
        <v>221653.7454227556</v>
      </c>
      <c r="AI63" s="41">
        <v>205757.95815985385</v>
      </c>
      <c r="AJ63" s="41">
        <v>239485.55286689993</v>
      </c>
      <c r="AK63" s="41">
        <v>241138.51672608146</v>
      </c>
      <c r="AL63" s="41">
        <v>242791.48058526294</v>
      </c>
      <c r="AM63" s="41">
        <v>243617.96251485369</v>
      </c>
      <c r="AN63" s="41"/>
      <c r="AO63" s="42" t="s">
        <v>144</v>
      </c>
      <c r="AP63" s="41">
        <f t="shared" si="13"/>
        <v>225658.91260269444</v>
      </c>
      <c r="AR63" s="41"/>
    </row>
    <row r="64" spans="1:44" x14ac:dyDescent="0.3">
      <c r="A64" s="80" t="s">
        <v>145</v>
      </c>
      <c r="B64" s="81">
        <v>697716</v>
      </c>
      <c r="C64" s="82">
        <f t="shared" ref="C64:C65" si="18">B64/$B$67</f>
        <v>0.12224782255987413</v>
      </c>
      <c r="D64" s="32" t="s">
        <v>146</v>
      </c>
      <c r="E64" s="33">
        <v>795364.94321299996</v>
      </c>
      <c r="F64" s="33">
        <v>4782.2382171500003</v>
      </c>
      <c r="G64" s="33">
        <v>12419.325362</v>
      </c>
      <c r="H64" s="33">
        <v>778163.37963400001</v>
      </c>
      <c r="I64" s="33">
        <v>0</v>
      </c>
      <c r="J64" s="34">
        <v>6532.3851860000004</v>
      </c>
      <c r="K64" s="35">
        <f t="shared" si="1"/>
        <v>771630.99444784992</v>
      </c>
      <c r="L64" s="36">
        <f t="shared" si="2"/>
        <v>1.9083973433020703E-2</v>
      </c>
      <c r="M64" s="37">
        <v>22353</v>
      </c>
      <c r="N64" s="38">
        <f t="shared" si="3"/>
        <v>3.9171161837723827E-3</v>
      </c>
      <c r="O64" s="38">
        <f t="shared" si="4"/>
        <v>28.169465465771708</v>
      </c>
      <c r="P64" s="38">
        <f t="shared" si="5"/>
        <v>9.8097499156448945E-3</v>
      </c>
      <c r="Q64" s="76">
        <v>1156.58129143</v>
      </c>
      <c r="R64" s="33">
        <v>556.31986864400005</v>
      </c>
      <c r="S64" s="39">
        <f t="shared" si="6"/>
        <v>6.1105939507145358E-3</v>
      </c>
      <c r="T64" s="40">
        <f t="shared" si="7"/>
        <v>176673.91835633173</v>
      </c>
      <c r="U64" s="28">
        <f t="shared" si="8"/>
        <v>167834.96775852298</v>
      </c>
      <c r="V64" s="28" t="e">
        <f>(#REF!*$C$13)+$B$34</f>
        <v>#REF!</v>
      </c>
      <c r="W64" s="28" t="e">
        <f t="shared" si="9"/>
        <v>#REF!</v>
      </c>
      <c r="X64" s="28" t="e">
        <f t="shared" si="10"/>
        <v>#REF!</v>
      </c>
      <c r="Y64" s="28" t="e">
        <f t="shared" si="11"/>
        <v>#REF!</v>
      </c>
      <c r="Z64" s="28" t="e">
        <f t="shared" si="12"/>
        <v>#REF!</v>
      </c>
      <c r="AA64" s="16" t="e">
        <f t="shared" si="0"/>
        <v>#REF!</v>
      </c>
      <c r="AE64" s="41" t="e" cm="1">
        <f t="array" ref="AE64">_xlfn.IFS($V64&gt;$W$3,($W$3+$Y$101),$V64&lt;$X$3,($V64+$X64+$Y$101), $V64&lt;$W$3,$V64+$Y$101,$V64&gt;$X$3,$V64+$Y$101)</f>
        <v>#REF!</v>
      </c>
      <c r="AF64" s="41">
        <v>261935.45641828023</v>
      </c>
      <c r="AG64" s="41">
        <v>259194.30262007937</v>
      </c>
      <c r="AH64" s="41">
        <v>257930.28923834139</v>
      </c>
      <c r="AI64" s="41">
        <v>223896.23006764674</v>
      </c>
      <c r="AJ64" s="41">
        <v>293900.36859027861</v>
      </c>
      <c r="AK64" s="41">
        <v>277415.06054166722</v>
      </c>
      <c r="AL64" s="41">
        <v>260929.75249305583</v>
      </c>
      <c r="AM64" s="41">
        <v>252687.09846875013</v>
      </c>
      <c r="AN64" s="41"/>
      <c r="AO64" s="32" t="s">
        <v>146</v>
      </c>
      <c r="AP64" s="41">
        <f t="shared" si="13"/>
        <v>261935.45641828023</v>
      </c>
      <c r="AR64" s="41"/>
    </row>
    <row r="65" spans="1:44" x14ac:dyDescent="0.3">
      <c r="A65" s="80" t="s">
        <v>147</v>
      </c>
      <c r="B65" s="81">
        <v>4752287</v>
      </c>
      <c r="C65" s="82">
        <f t="shared" si="18"/>
        <v>0.83265503145921338</v>
      </c>
      <c r="D65" s="42" t="s">
        <v>148</v>
      </c>
      <c r="E65" s="43">
        <v>458926.83035800001</v>
      </c>
      <c r="F65" s="43">
        <v>14250.7663546</v>
      </c>
      <c r="G65" s="43">
        <v>6637.8161571800001</v>
      </c>
      <c r="H65" s="43">
        <v>438038.24784600001</v>
      </c>
      <c r="I65" s="43">
        <v>0</v>
      </c>
      <c r="J65" s="44">
        <v>2426.0355961199998</v>
      </c>
      <c r="K65" s="35">
        <f t="shared" si="1"/>
        <v>435612.21225009998</v>
      </c>
      <c r="L65" s="36">
        <f t="shared" si="2"/>
        <v>1.0773558793641908E-2</v>
      </c>
      <c r="M65" s="45">
        <v>11308</v>
      </c>
      <c r="N65" s="38">
        <f t="shared" si="3"/>
        <v>1.981602013425406E-3</v>
      </c>
      <c r="O65" s="38">
        <f t="shared" si="4"/>
        <v>22.445464632108823</v>
      </c>
      <c r="P65" s="38">
        <f t="shared" si="5"/>
        <v>7.8164207641420371E-3</v>
      </c>
      <c r="Q65" s="76">
        <v>41050.784504199997</v>
      </c>
      <c r="R65" s="43">
        <v>1361.89955912</v>
      </c>
      <c r="S65" s="39">
        <f t="shared" si="6"/>
        <v>1.4959047261288607E-2</v>
      </c>
      <c r="T65" s="40">
        <f t="shared" si="7"/>
        <v>161218.30267000926</v>
      </c>
      <c r="U65" s="28">
        <f t="shared" si="8"/>
        <v>152466.07454393432</v>
      </c>
      <c r="V65" s="28" t="e">
        <f>(#REF!*$C$13)+$B$34</f>
        <v>#REF!</v>
      </c>
      <c r="W65" s="28" t="e">
        <f t="shared" si="9"/>
        <v>#REF!</v>
      </c>
      <c r="X65" s="28" t="e">
        <f t="shared" si="10"/>
        <v>#REF!</v>
      </c>
      <c r="Y65" s="28" t="e">
        <f t="shared" si="11"/>
        <v>#REF!</v>
      </c>
      <c r="Z65" s="28" t="e">
        <f t="shared" si="12"/>
        <v>#REF!</v>
      </c>
      <c r="AA65" s="16" t="e">
        <f t="shared" si="0"/>
        <v>#REF!</v>
      </c>
      <c r="AE65" s="41" t="e" cm="1">
        <f t="array" ref="AE65">_xlfn.IFS($V65&gt;$W$3,($W$3+$Y$101),$V65&lt;$X$3,($V65+$X65+$Y$101), $V65&lt;$W$3,$V65+$Y$101,$V65&gt;$X$3,$V65+$Y$101)</f>
        <v>#REF!</v>
      </c>
      <c r="AF65" s="41">
        <v>220630.73868738278</v>
      </c>
      <c r="AG65" s="41">
        <v>223547.30117163912</v>
      </c>
      <c r="AH65" s="41">
        <v>222283.28778990114</v>
      </c>
      <c r="AI65" s="41">
        <v>203008.28132077528</v>
      </c>
      <c r="AJ65" s="41">
        <v>240429.86641761826</v>
      </c>
      <c r="AK65" s="41">
        <v>241768.059093227</v>
      </c>
      <c r="AL65" s="41">
        <v>243106.25176883573</v>
      </c>
      <c r="AM65" s="41">
        <v>243775.34810664007</v>
      </c>
      <c r="AN65" s="41"/>
      <c r="AO65" s="42" t="s">
        <v>148</v>
      </c>
      <c r="AP65" s="41">
        <f t="shared" si="13"/>
        <v>220630.73868738278</v>
      </c>
      <c r="AR65" s="41"/>
    </row>
    <row r="66" spans="1:44" x14ac:dyDescent="0.3">
      <c r="A66" s="79"/>
      <c r="B66" s="79"/>
      <c r="C66" s="79"/>
      <c r="D66" s="32" t="s">
        <v>149</v>
      </c>
      <c r="E66" s="33">
        <v>108718.34360599999</v>
      </c>
      <c r="F66" s="33">
        <v>1777.1121685600001</v>
      </c>
      <c r="G66" s="33">
        <v>2015.3864980599999</v>
      </c>
      <c r="H66" s="33">
        <v>104925.84494</v>
      </c>
      <c r="I66" s="33">
        <v>0</v>
      </c>
      <c r="J66" s="34">
        <v>17732.536132000001</v>
      </c>
      <c r="K66" s="35">
        <f t="shared" si="1"/>
        <v>87193.308807380003</v>
      </c>
      <c r="L66" s="36">
        <f t="shared" si="2"/>
        <v>2.1564644250817093E-3</v>
      </c>
      <c r="M66" s="37">
        <v>552352</v>
      </c>
      <c r="N66" s="38">
        <f t="shared" si="3"/>
        <v>9.6793582889949589E-2</v>
      </c>
      <c r="O66" s="38">
        <f t="shared" si="4"/>
        <v>82.048751497810358</v>
      </c>
      <c r="P66" s="38">
        <f t="shared" si="5"/>
        <v>2.8572701674528005E-2</v>
      </c>
      <c r="Q66" s="76">
        <v>10779.693429499999</v>
      </c>
      <c r="R66" s="33">
        <v>386.50214121900001</v>
      </c>
      <c r="S66" s="39">
        <f t="shared" si="6"/>
        <v>4.24532320196957E-3</v>
      </c>
      <c r="T66" s="40">
        <f t="shared" si="7"/>
        <v>179427.08248274791</v>
      </c>
      <c r="U66" s="28">
        <f t="shared" si="8"/>
        <v>281758.40430588031</v>
      </c>
      <c r="V66" s="28" t="e">
        <f>(#REF!*$C$13)+$B$34</f>
        <v>#REF!</v>
      </c>
      <c r="W66" s="28" t="e">
        <f t="shared" si="9"/>
        <v>#REF!</v>
      </c>
      <c r="X66" s="28" t="e">
        <f t="shared" si="10"/>
        <v>#REF!</v>
      </c>
      <c r="Y66" s="28" t="e">
        <f t="shared" si="11"/>
        <v>#REF!</v>
      </c>
      <c r="Z66" s="28" t="e">
        <f t="shared" si="12"/>
        <v>#REF!</v>
      </c>
      <c r="AA66" s="16" t="e">
        <f t="shared" si="0"/>
        <v>#REF!</v>
      </c>
      <c r="AE66" s="41" t="e" cm="1">
        <f t="array" ref="AE66">_xlfn.IFS($V66&gt;$W$3,($W$3+$Y$101),$V66&lt;$X$3,($V66+$X66+$Y$101), $V66&lt;$W$3,$V66+$Y$101,$V66&gt;$X$3,$V66+$Y$101)</f>
        <v>#REF!</v>
      </c>
      <c r="AF66" s="41">
        <v>243303.67853169885</v>
      </c>
      <c r="AG66" s="41">
        <v>257308.02585636222</v>
      </c>
      <c r="AH66" s="41">
        <v>273173.92628651031</v>
      </c>
      <c r="AI66" s="41">
        <v>595490.00327582401</v>
      </c>
      <c r="AJ66" s="41">
        <v>187807.90878147926</v>
      </c>
      <c r="AK66" s="41">
        <v>206686.75400246767</v>
      </c>
      <c r="AL66" s="41">
        <v>225565.59922345605</v>
      </c>
      <c r="AM66" s="41">
        <v>235005.02183395025</v>
      </c>
      <c r="AN66" s="41"/>
      <c r="AO66" s="32" t="s">
        <v>149</v>
      </c>
      <c r="AP66" s="41">
        <f t="shared" si="13"/>
        <v>243303.67853169885</v>
      </c>
      <c r="AR66" s="41"/>
    </row>
    <row r="67" spans="1:44" x14ac:dyDescent="0.3">
      <c r="A67" s="79"/>
      <c r="B67" s="83">
        <f>SUM(B63:B66)</f>
        <v>5707390</v>
      </c>
      <c r="C67" s="79"/>
      <c r="D67" s="42" t="s">
        <v>150</v>
      </c>
      <c r="E67" s="43">
        <v>277055.225011</v>
      </c>
      <c r="F67" s="43">
        <v>1.6188986282200001E-4</v>
      </c>
      <c r="G67" s="43">
        <v>3830.4109724300001</v>
      </c>
      <c r="H67" s="43">
        <v>273224.81387700001</v>
      </c>
      <c r="I67" s="43">
        <v>0</v>
      </c>
      <c r="J67" s="44">
        <v>818.77788947500005</v>
      </c>
      <c r="K67" s="35">
        <f t="shared" si="1"/>
        <v>272406.0359872051</v>
      </c>
      <c r="L67" s="36">
        <f t="shared" si="2"/>
        <v>6.7371445563746682E-3</v>
      </c>
      <c r="M67" s="45">
        <v>3935</v>
      </c>
      <c r="N67" s="38">
        <f t="shared" si="3"/>
        <v>6.8956525670578115E-4</v>
      </c>
      <c r="O67" s="38">
        <f t="shared" si="4"/>
        <v>15.787556297386935</v>
      </c>
      <c r="P67" s="38">
        <f t="shared" si="5"/>
        <v>5.4978671584916339E-3</v>
      </c>
      <c r="Q67" s="76">
        <v>247.04160293300001</v>
      </c>
      <c r="R67" s="43">
        <v>269.24160355100003</v>
      </c>
      <c r="S67" s="39">
        <f t="shared" si="6"/>
        <v>2.9573384066788281E-3</v>
      </c>
      <c r="T67" s="40">
        <f t="shared" si="7"/>
        <v>151685.8509056328</v>
      </c>
      <c r="U67" s="28">
        <f t="shared" si="8"/>
        <v>144473.39805295403</v>
      </c>
      <c r="V67" s="28" t="e">
        <f>(#REF!*$C$13)+$B$34</f>
        <v>#REF!</v>
      </c>
      <c r="W67" s="28" t="e">
        <f t="shared" si="9"/>
        <v>#REF!</v>
      </c>
      <c r="X67" s="28" t="e">
        <f t="shared" si="10"/>
        <v>#REF!</v>
      </c>
      <c r="Y67" s="28" t="e">
        <f t="shared" si="11"/>
        <v>#REF!</v>
      </c>
      <c r="Z67" s="28" t="e">
        <f t="shared" si="12"/>
        <v>#REF!</v>
      </c>
      <c r="AA67" s="16" t="e">
        <f t="shared" si="0"/>
        <v>#REF!</v>
      </c>
      <c r="AE67" s="41" t="e" cm="1">
        <f t="array" ref="AE67">_xlfn.IFS($V67&gt;$W$3,($W$3+$Y$101),$V67&lt;$X$3,($V67+$X67+$Y$101), $V67&lt;$W$3,$V67+$Y$101,$V67&gt;$X$3,$V67+$Y$101)</f>
        <v>#REF!</v>
      </c>
      <c r="AF67" s="41">
        <v>203316.7934263885</v>
      </c>
      <c r="AG67" s="41">
        <v>202829.44808397375</v>
      </c>
      <c r="AH67" s="41">
        <v>202508.57577640604</v>
      </c>
      <c r="AI67" s="41">
        <v>188592.45919865413</v>
      </c>
      <c r="AJ67" s="41">
        <v>214458.94852612683</v>
      </c>
      <c r="AK67" s="41">
        <v>224454.11383223272</v>
      </c>
      <c r="AL67" s="41">
        <v>234449.27913833858</v>
      </c>
      <c r="AM67" s="41">
        <v>239446.86179139151</v>
      </c>
      <c r="AN67" s="41"/>
      <c r="AO67" s="42" t="s">
        <v>150</v>
      </c>
      <c r="AP67" s="41">
        <f t="shared" si="13"/>
        <v>203316.7934263885</v>
      </c>
      <c r="AR67" s="41"/>
    </row>
    <row r="68" spans="1:44" x14ac:dyDescent="0.3">
      <c r="D68" s="32" t="s">
        <v>151</v>
      </c>
      <c r="E68" s="33">
        <v>564325.01814499998</v>
      </c>
      <c r="F68" s="33">
        <v>4.62067128219</v>
      </c>
      <c r="G68" s="33">
        <v>12748.733501799999</v>
      </c>
      <c r="H68" s="33">
        <v>551571.66397200001</v>
      </c>
      <c r="I68" s="33">
        <v>2154.5353899800002</v>
      </c>
      <c r="J68" s="34">
        <v>2066.51172873</v>
      </c>
      <c r="K68" s="35">
        <f t="shared" si="1"/>
        <v>547350.61685320782</v>
      </c>
      <c r="L68" s="36">
        <f t="shared" si="2"/>
        <v>1.3537072390474164E-2</v>
      </c>
      <c r="M68" s="37">
        <v>15425</v>
      </c>
      <c r="N68" s="38">
        <f t="shared" si="3"/>
        <v>2.7030607584972491E-3</v>
      </c>
      <c r="O68" s="38">
        <f t="shared" si="4"/>
        <v>24.892874957997879</v>
      </c>
      <c r="P68" s="38">
        <f t="shared" si="5"/>
        <v>8.6687082620042506E-3</v>
      </c>
      <c r="Q68" s="76">
        <v>1537.3211294099999</v>
      </c>
      <c r="R68" s="33">
        <v>602.42144798899994</v>
      </c>
      <c r="S68" s="39">
        <f t="shared" si="6"/>
        <v>6.6169717519435145E-3</v>
      </c>
      <c r="T68" s="40">
        <f t="shared" si="7"/>
        <v>166642.00431205097</v>
      </c>
      <c r="U68" s="28">
        <f t="shared" si="8"/>
        <v>157693.53305679047</v>
      </c>
      <c r="V68" s="28" t="e">
        <f>(#REF!*$C$13)+$B$34</f>
        <v>#REF!</v>
      </c>
      <c r="W68" s="28" t="e">
        <f t="shared" si="9"/>
        <v>#REF!</v>
      </c>
      <c r="X68" s="28" t="e">
        <f t="shared" si="10"/>
        <v>#REF!</v>
      </c>
      <c r="Y68" s="28" t="e">
        <f t="shared" si="11"/>
        <v>#REF!</v>
      </c>
      <c r="Z68" s="28" t="e">
        <f t="shared" si="12"/>
        <v>#REF!</v>
      </c>
      <c r="AA68" s="16" t="e">
        <f t="shared" ref="AA68:AA93" si="19">Z68-Y68</f>
        <v>#REF!</v>
      </c>
      <c r="AE68" s="41" t="e" cm="1">
        <f t="array" ref="AE68">_xlfn.IFS($V68&gt;$W$3,($W$3+$Y$101),$V68&lt;$X$3,($V68+$X68+$Y$101), $V68&lt;$W$3,$V68+$Y$101,$V68&gt;$X$3,$V68+$Y$101)</f>
        <v>#REF!</v>
      </c>
      <c r="AF68" s="41">
        <v>238370.93967604134</v>
      </c>
      <c r="AG68" s="41">
        <v>235629.78587784048</v>
      </c>
      <c r="AH68" s="41">
        <v>234365.77249610249</v>
      </c>
      <c r="AI68" s="41">
        <v>212104.72053268534</v>
      </c>
      <c r="AJ68" s="41">
        <v>258553.59347692027</v>
      </c>
      <c r="AK68" s="41">
        <v>253850.54379942836</v>
      </c>
      <c r="AL68" s="41">
        <v>249147.49412193638</v>
      </c>
      <c r="AM68" s="41">
        <v>246795.96928319041</v>
      </c>
      <c r="AN68" s="41"/>
      <c r="AO68" s="32" t="s">
        <v>151</v>
      </c>
      <c r="AP68" s="41">
        <f t="shared" si="13"/>
        <v>238370.93967604134</v>
      </c>
      <c r="AR68" s="41"/>
    </row>
    <row r="69" spans="1:44" x14ac:dyDescent="0.3">
      <c r="D69" s="42" t="s">
        <v>152</v>
      </c>
      <c r="E69" s="43">
        <v>631653.40773500002</v>
      </c>
      <c r="F69" s="43">
        <v>1964.6677704900001</v>
      </c>
      <c r="G69" s="43">
        <v>2851.6573410599999</v>
      </c>
      <c r="H69" s="43">
        <v>626837.08262400003</v>
      </c>
      <c r="I69" s="43">
        <v>0.68330484565500005</v>
      </c>
      <c r="J69" s="44">
        <v>2842.7874759400001</v>
      </c>
      <c r="K69" s="35">
        <f t="shared" ref="K69:K93" si="20">E69-F69-G69-I69-J69</f>
        <v>623993.61184266431</v>
      </c>
      <c r="L69" s="36">
        <f t="shared" ref="L69:L93" si="21">K69/K$94</f>
        <v>1.5432606513299993E-2</v>
      </c>
      <c r="M69" s="45">
        <v>14723</v>
      </c>
      <c r="N69" s="38">
        <f t="shared" ref="N69:N93" si="22">$M69/$M$94</f>
        <v>2.5800430176567257E-3</v>
      </c>
      <c r="O69" s="38">
        <f t="shared" ref="O69:O93" si="23">M69^(1/3)</f>
        <v>24.50936751327535</v>
      </c>
      <c r="P69" s="38">
        <f t="shared" ref="P69:P93" si="24">$O69/$O$94</f>
        <v>8.5351554216748053E-3</v>
      </c>
      <c r="Q69" s="76">
        <v>3218.7672573899999</v>
      </c>
      <c r="R69" s="43">
        <v>464.63205654299998</v>
      </c>
      <c r="S69" s="39">
        <f t="shared" ref="S69:S93" si="25">$R69/$R$94</f>
        <v>5.1034988934334745E-3</v>
      </c>
      <c r="T69" s="40">
        <f t="shared" ref="T69:T93" si="26">($L69*$C$13)+($P69*$C$10)+$B$34</f>
        <v>169284.97623579553</v>
      </c>
      <c r="U69" s="28">
        <f t="shared" ref="U69:U93" si="27">+($L69*$C$13)+($N69*$C$10)+$B$34</f>
        <v>160352.30762976842</v>
      </c>
      <c r="V69" s="28" t="e">
        <f>(#REF!*$C$13)+$B$34</f>
        <v>#REF!</v>
      </c>
      <c r="W69" s="28" t="e">
        <f t="shared" ref="W69:W93" si="28">+IF(V69&gt;$W$3,ABS($W$3-V69),0)</f>
        <v>#REF!</v>
      </c>
      <c r="X69" s="28" t="e">
        <f t="shared" ref="X69:X93" si="29">IF($X$3&gt;V69,(V69-$X$3)*-1,0)</f>
        <v>#REF!</v>
      </c>
      <c r="Y69" s="28" t="e">
        <f t="shared" ref="Y69:Y93" si="30">IF($V69&lt;=$W$3,$V69,$W$3)</f>
        <v>#REF!</v>
      </c>
      <c r="Z69" s="28" t="e">
        <f t="shared" ref="Z69:Z93" si="31">$Y69+$Y$101+X69</f>
        <v>#REF!</v>
      </c>
      <c r="AA69" s="16" t="e">
        <f t="shared" si="19"/>
        <v>#REF!</v>
      </c>
      <c r="AE69" s="41" t="e" cm="1">
        <f t="array" ref="AE69">_xlfn.IFS($V69&gt;$W$3,($W$3+$Y$101),$V69&lt;$X$3,($V69+$X69+$Y$101), $V69&lt;$W$3,$V69+$Y$101,$V69&gt;$X$3,$V69+$Y$101)</f>
        <v>#REF!</v>
      </c>
      <c r="AF69" s="41">
        <v>246273.21992250913</v>
      </c>
      <c r="AG69" s="41">
        <v>243532.06612430827</v>
      </c>
      <c r="AH69" s="41">
        <v>242268.05274257029</v>
      </c>
      <c r="AI69" s="41">
        <v>215471.49547323503</v>
      </c>
      <c r="AJ69" s="41">
        <v>270407.01384662197</v>
      </c>
      <c r="AK69" s="41">
        <v>261752.82404589618</v>
      </c>
      <c r="AL69" s="41">
        <v>253098.63424517031</v>
      </c>
      <c r="AM69" s="41">
        <v>248771.53934480736</v>
      </c>
      <c r="AN69" s="41"/>
      <c r="AO69" s="42" t="s">
        <v>152</v>
      </c>
      <c r="AP69" s="41">
        <f t="shared" ref="AP69:AP93" si="32">CHOOSE($AQ$2,$AE69,$AF69,$AG69,$AH69,$AI69,$AJ69,$AK69,$AL69,$AM69)</f>
        <v>246273.21992250913</v>
      </c>
      <c r="AR69" s="41"/>
    </row>
    <row r="70" spans="1:44" ht="15" thickBot="1" x14ac:dyDescent="0.35">
      <c r="D70" s="32" t="s">
        <v>153</v>
      </c>
      <c r="E70" s="33">
        <v>329914.00773200003</v>
      </c>
      <c r="F70" s="33">
        <v>494.50888146199998</v>
      </c>
      <c r="G70" s="33">
        <v>7990.7650147699997</v>
      </c>
      <c r="H70" s="33">
        <v>321428.73383600003</v>
      </c>
      <c r="I70" s="33">
        <v>0</v>
      </c>
      <c r="J70" s="34">
        <v>4524.0666053000004</v>
      </c>
      <c r="K70" s="35">
        <f t="shared" si="20"/>
        <v>316904.66723046807</v>
      </c>
      <c r="L70" s="36">
        <f t="shared" si="21"/>
        <v>7.837684455060152E-3</v>
      </c>
      <c r="M70" s="37">
        <v>67097</v>
      </c>
      <c r="N70" s="38">
        <f t="shared" si="22"/>
        <v>1.1758007631305667E-2</v>
      </c>
      <c r="O70" s="38">
        <f t="shared" si="23"/>
        <v>40.635072058865241</v>
      </c>
      <c r="P70" s="38">
        <f t="shared" si="24"/>
        <v>1.4150779509324894E-2</v>
      </c>
      <c r="Q70" s="76">
        <v>12698.320502</v>
      </c>
      <c r="R70" s="33">
        <v>574.367023539</v>
      </c>
      <c r="S70" s="39">
        <f t="shared" si="25"/>
        <v>6.3088231381742505E-3</v>
      </c>
      <c r="T70" s="40">
        <f t="shared" si="26"/>
        <v>166316.0292799109</v>
      </c>
      <c r="U70" s="28">
        <f t="shared" si="27"/>
        <v>162726.87146288206</v>
      </c>
      <c r="V70" s="28" t="e">
        <f>(#REF!*$C$13)+$B$34</f>
        <v>#REF!</v>
      </c>
      <c r="W70" s="28" t="e">
        <f t="shared" si="28"/>
        <v>#REF!</v>
      </c>
      <c r="X70" s="28" t="e">
        <f t="shared" si="29"/>
        <v>#REF!</v>
      </c>
      <c r="Y70" s="28" t="e">
        <f t="shared" si="30"/>
        <v>#REF!</v>
      </c>
      <c r="Z70" s="28" t="e">
        <f t="shared" si="31"/>
        <v>#REF!</v>
      </c>
      <c r="AA70" s="16" t="e">
        <f t="shared" si="19"/>
        <v>#REF!</v>
      </c>
      <c r="AE70" s="41" t="e" cm="1">
        <f t="array" ref="AE70">_xlfn.IFS($V70&gt;$W$3,($W$3+$Y$101),$V70&lt;$X$3,($V70+$X70+$Y$101), $V70&lt;$W$3,$V70+$Y$101,$V70&gt;$X$3,$V70+$Y$101)</f>
        <v>#REF!</v>
      </c>
      <c r="AF70" s="41">
        <v>265791.73510944715</v>
      </c>
      <c r="AG70" s="41">
        <v>279796.08243411046</v>
      </c>
      <c r="AH70" s="41">
        <v>295661.98286425858</v>
      </c>
      <c r="AI70" s="41">
        <v>239775.05381830269</v>
      </c>
      <c r="AJ70" s="41">
        <v>221539.99364810166</v>
      </c>
      <c r="AK70" s="41">
        <v>229174.81058021594</v>
      </c>
      <c r="AL70" s="41">
        <v>236809.62751233019</v>
      </c>
      <c r="AM70" s="41">
        <v>240627.03597838731</v>
      </c>
      <c r="AN70" s="41"/>
      <c r="AO70" s="32" t="s">
        <v>153</v>
      </c>
      <c r="AP70" s="41">
        <f t="shared" si="32"/>
        <v>265791.73510944715</v>
      </c>
      <c r="AR70" s="41"/>
    </row>
    <row r="71" spans="1:44" ht="32.4" x14ac:dyDescent="0.6">
      <c r="A71" s="62" t="s">
        <v>154</v>
      </c>
      <c r="B71" s="63"/>
      <c r="C71" s="64" t="s">
        <v>155</v>
      </c>
      <c r="D71" s="42" t="s">
        <v>156</v>
      </c>
      <c r="E71" s="43">
        <v>309222.55865000002</v>
      </c>
      <c r="F71" s="43">
        <v>930.15766613599999</v>
      </c>
      <c r="G71" s="43">
        <v>2514.1984283100001</v>
      </c>
      <c r="H71" s="43">
        <v>305778.20255599997</v>
      </c>
      <c r="I71" s="43">
        <v>0</v>
      </c>
      <c r="J71" s="44">
        <v>1321.7061883900001</v>
      </c>
      <c r="K71" s="35">
        <f t="shared" si="20"/>
        <v>304456.49636716407</v>
      </c>
      <c r="L71" s="36">
        <f t="shared" si="21"/>
        <v>7.5298163629872236E-3</v>
      </c>
      <c r="M71" s="45">
        <v>9704</v>
      </c>
      <c r="N71" s="38">
        <f t="shared" si="22"/>
        <v>1.7005187423311055E-3</v>
      </c>
      <c r="O71" s="38">
        <f t="shared" si="23"/>
        <v>21.329643459047809</v>
      </c>
      <c r="P71" s="38">
        <f t="shared" si="24"/>
        <v>7.4278465942980857E-3</v>
      </c>
      <c r="Q71" s="76">
        <v>30.2111237393</v>
      </c>
      <c r="R71" s="43">
        <v>375.98549434</v>
      </c>
      <c r="S71" s="39">
        <f t="shared" si="25"/>
        <v>4.129808796637875E-3</v>
      </c>
      <c r="T71" s="40">
        <f t="shared" si="26"/>
        <v>155769.82776926132</v>
      </c>
      <c r="U71" s="28">
        <f t="shared" si="27"/>
        <v>147178.83599131083</v>
      </c>
      <c r="V71" s="28" t="e">
        <f>(#REF!*$C$13)+$B$34</f>
        <v>#REF!</v>
      </c>
      <c r="W71" s="28" t="e">
        <f t="shared" si="28"/>
        <v>#REF!</v>
      </c>
      <c r="X71" s="28" t="e">
        <f t="shared" si="29"/>
        <v>#REF!</v>
      </c>
      <c r="Y71" s="28" t="e">
        <f t="shared" si="30"/>
        <v>#REF!</v>
      </c>
      <c r="Z71" s="28" t="e">
        <f t="shared" si="31"/>
        <v>#REF!</v>
      </c>
      <c r="AA71" s="16" t="e">
        <f t="shared" si="19"/>
        <v>#REF!</v>
      </c>
      <c r="AE71" s="41" t="e" cm="1">
        <f t="array" ref="AE71">_xlfn.IFS($V71&gt;$W$3,($W$3+$Y$101),$V71&lt;$X$3,($V71+$X71+$Y$101), $V71&lt;$W$3,$V71+$Y$101,$V71&gt;$X$3,$V71+$Y$101)</f>
        <v>#REF!</v>
      </c>
      <c r="AF71" s="41">
        <v>206716.90933691876</v>
      </c>
      <c r="AG71" s="41">
        <v>206229.56399450402</v>
      </c>
      <c r="AH71" s="41">
        <v>205908.6916869363</v>
      </c>
      <c r="AI71" s="41">
        <v>194723.05370390095</v>
      </c>
      <c r="AJ71" s="41">
        <v>219559.12239192222</v>
      </c>
      <c r="AK71" s="41">
        <v>227854.22974276298</v>
      </c>
      <c r="AL71" s="41">
        <v>236149.33709360371</v>
      </c>
      <c r="AM71" s="41">
        <v>240296.89076902406</v>
      </c>
      <c r="AN71" s="41"/>
      <c r="AO71" s="42" t="s">
        <v>156</v>
      </c>
      <c r="AP71" s="41">
        <f t="shared" si="32"/>
        <v>206716.90933691876</v>
      </c>
      <c r="AR71" s="41"/>
    </row>
    <row r="72" spans="1:44" x14ac:dyDescent="0.3">
      <c r="A72" s="65" t="s">
        <v>157</v>
      </c>
      <c r="C72" s="66"/>
      <c r="D72" s="32" t="s">
        <v>158</v>
      </c>
      <c r="E72" s="33">
        <v>363938.269959</v>
      </c>
      <c r="F72" s="33">
        <v>14941.217384899999</v>
      </c>
      <c r="G72" s="33">
        <v>19567.684789999999</v>
      </c>
      <c r="H72" s="33">
        <v>329429.367784</v>
      </c>
      <c r="I72" s="33">
        <v>143.886944296</v>
      </c>
      <c r="J72" s="34">
        <v>1721.5815850399999</v>
      </c>
      <c r="K72" s="35">
        <f t="shared" si="20"/>
        <v>327563.89925476396</v>
      </c>
      <c r="L72" s="36">
        <f t="shared" si="21"/>
        <v>8.1013085217860169E-3</v>
      </c>
      <c r="M72" s="37">
        <v>18843</v>
      </c>
      <c r="N72" s="38">
        <f t="shared" si="22"/>
        <v>3.3020274795697675E-3</v>
      </c>
      <c r="O72" s="38">
        <f t="shared" si="23"/>
        <v>26.610315030148065</v>
      </c>
      <c r="P72" s="38">
        <f t="shared" si="24"/>
        <v>9.2667905232161913E-3</v>
      </c>
      <c r="Q72" s="76">
        <v>12338.329645600001</v>
      </c>
      <c r="R72" s="33">
        <v>658.16843544300002</v>
      </c>
      <c r="S72" s="39">
        <f t="shared" si="25"/>
        <v>7.2292943086360896E-3</v>
      </c>
      <c r="T72" s="40">
        <f t="shared" si="26"/>
        <v>159385.48190083666</v>
      </c>
      <c r="U72" s="28">
        <f t="shared" si="27"/>
        <v>150438.33733536702</v>
      </c>
      <c r="V72" s="28" t="e">
        <f>(#REF!*$C$13)+$B$34</f>
        <v>#REF!</v>
      </c>
      <c r="W72" s="28" t="e">
        <f t="shared" si="28"/>
        <v>#REF!</v>
      </c>
      <c r="X72" s="28" t="e">
        <f t="shared" si="29"/>
        <v>#REF!</v>
      </c>
      <c r="Y72" s="28" t="e">
        <f t="shared" si="30"/>
        <v>#REF!</v>
      </c>
      <c r="Z72" s="28" t="e">
        <f t="shared" si="31"/>
        <v>#REF!</v>
      </c>
      <c r="AA72" s="16" t="e">
        <f t="shared" si="19"/>
        <v>#REF!</v>
      </c>
      <c r="AE72" s="41" t="e" cm="1">
        <f t="array" ref="AE72">_xlfn.IFS($V72&gt;$W$3,($W$3+$Y$101),$V72&lt;$X$3,($V72+$X72+$Y$101), $V72&lt;$W$3,$V72+$Y$101,$V72&gt;$X$3,$V72+$Y$101)</f>
        <v>#REF!</v>
      </c>
      <c r="AF72" s="41">
        <v>214841.26976615438</v>
      </c>
      <c r="AG72" s="41">
        <v>212100.11596795352</v>
      </c>
      <c r="AH72" s="41">
        <v>214696.21494346933</v>
      </c>
      <c r="AI72" s="41">
        <v>202970.29983014095</v>
      </c>
      <c r="AJ72" s="41">
        <v>223259.08861208986</v>
      </c>
      <c r="AK72" s="41">
        <v>230320.87388954143</v>
      </c>
      <c r="AL72" s="41">
        <v>237382.65916699293</v>
      </c>
      <c r="AM72" s="41">
        <v>240913.55180571869</v>
      </c>
      <c r="AN72" s="41"/>
      <c r="AO72" s="32" t="s">
        <v>158</v>
      </c>
      <c r="AP72" s="41">
        <f t="shared" si="32"/>
        <v>214841.26976615438</v>
      </c>
      <c r="AR72" s="41"/>
    </row>
    <row r="73" spans="1:44" x14ac:dyDescent="0.3">
      <c r="A73" s="65" t="s">
        <v>191</v>
      </c>
      <c r="C73" s="66"/>
      <c r="D73" s="42" t="s">
        <v>159</v>
      </c>
      <c r="E73" s="43">
        <v>1074045.21432</v>
      </c>
      <c r="F73" s="43">
        <v>28731.250961999998</v>
      </c>
      <c r="G73" s="43">
        <v>263295.13304599997</v>
      </c>
      <c r="H73" s="43">
        <v>782018.83030999999</v>
      </c>
      <c r="I73" s="43">
        <v>6430.61535439</v>
      </c>
      <c r="J73" s="44">
        <v>12286.0561681</v>
      </c>
      <c r="K73" s="35">
        <f t="shared" si="20"/>
        <v>763302.15878951014</v>
      </c>
      <c r="L73" s="36">
        <f t="shared" si="21"/>
        <v>1.8877984716165846E-2</v>
      </c>
      <c r="M73" s="45">
        <v>15331</v>
      </c>
      <c r="N73" s="38">
        <f t="shared" si="22"/>
        <v>2.6865882974730195E-3</v>
      </c>
      <c r="O73" s="38">
        <f t="shared" si="23"/>
        <v>24.842206139311266</v>
      </c>
      <c r="P73" s="38">
        <f t="shared" si="24"/>
        <v>8.6510633251331275E-3</v>
      </c>
      <c r="Q73" s="76">
        <v>24637.6874518</v>
      </c>
      <c r="R73" s="43">
        <v>825.43723192699997</v>
      </c>
      <c r="S73" s="39">
        <f t="shared" si="25"/>
        <v>9.0665677075347732E-3</v>
      </c>
      <c r="T73" s="40">
        <f t="shared" si="26"/>
        <v>174626.90539528179</v>
      </c>
      <c r="U73" s="28">
        <f t="shared" si="27"/>
        <v>165680.19285379164</v>
      </c>
      <c r="V73" s="28" t="e">
        <f>(#REF!*$C$13)+$B$34</f>
        <v>#REF!</v>
      </c>
      <c r="W73" s="28" t="e">
        <f t="shared" si="28"/>
        <v>#REF!</v>
      </c>
      <c r="X73" s="28" t="e">
        <f t="shared" si="29"/>
        <v>#REF!</v>
      </c>
      <c r="Y73" s="28" t="e">
        <f t="shared" si="30"/>
        <v>#REF!</v>
      </c>
      <c r="Z73" s="28" t="e">
        <f t="shared" si="31"/>
        <v>#REF!</v>
      </c>
      <c r="AA73" s="16" t="e">
        <f t="shared" si="19"/>
        <v>#REF!</v>
      </c>
      <c r="AE73" s="41" t="e" cm="1">
        <f t="array" ref="AE73">_xlfn.IFS($V73&gt;$W$3,($W$3+$Y$101),$V73&lt;$X$3,($V73+$X73+$Y$101), $V73&lt;$W$3,$V73+$Y$101,$V73&gt;$X$3,$V73+$Y$101)</f>
        <v>#REF!</v>
      </c>
      <c r="AF73" s="41">
        <v>261734.08118121227</v>
      </c>
      <c r="AG73" s="41">
        <v>258992.92738301141</v>
      </c>
      <c r="AH73" s="41">
        <v>257728.91400127343</v>
      </c>
      <c r="AI73" s="41">
        <v>223703.0308106931</v>
      </c>
      <c r="AJ73" s="41">
        <v>293598.30573467666</v>
      </c>
      <c r="AK73" s="41">
        <v>277213.68530459929</v>
      </c>
      <c r="AL73" s="41">
        <v>260829.06487452186</v>
      </c>
      <c r="AM73" s="41">
        <v>252636.75465948315</v>
      </c>
      <c r="AN73" s="41"/>
      <c r="AO73" s="42" t="s">
        <v>159</v>
      </c>
      <c r="AP73" s="41">
        <f t="shared" si="32"/>
        <v>261734.08118121227</v>
      </c>
      <c r="AR73" s="41"/>
    </row>
    <row r="74" spans="1:44" x14ac:dyDescent="0.3">
      <c r="A74" s="65"/>
      <c r="C74" s="66"/>
      <c r="D74" s="32" t="s">
        <v>160</v>
      </c>
      <c r="E74" s="33">
        <v>3202394.0501299999</v>
      </c>
      <c r="F74" s="33">
        <v>886281.79994199995</v>
      </c>
      <c r="G74" s="33">
        <v>953724.70890900004</v>
      </c>
      <c r="H74" s="33">
        <v>1362387.54128</v>
      </c>
      <c r="I74" s="33">
        <v>13502.4279296</v>
      </c>
      <c r="J74" s="34">
        <v>30443.010539300001</v>
      </c>
      <c r="K74" s="35">
        <f t="shared" si="20"/>
        <v>1318442.1028101</v>
      </c>
      <c r="L74" s="36">
        <f t="shared" si="21"/>
        <v>3.2607702702518122E-2</v>
      </c>
      <c r="M74" s="37">
        <v>71846</v>
      </c>
      <c r="N74" s="38">
        <f t="shared" si="22"/>
        <v>1.2590217390923393E-2</v>
      </c>
      <c r="O74" s="38">
        <f t="shared" si="23"/>
        <v>41.571994834554616</v>
      </c>
      <c r="P74" s="38">
        <f t="shared" si="24"/>
        <v>1.4477054004343355E-2</v>
      </c>
      <c r="Q74" s="76">
        <v>284313.737364</v>
      </c>
      <c r="R74" s="33">
        <v>6570.16332719</v>
      </c>
      <c r="S74" s="39">
        <f t="shared" si="25"/>
        <v>7.2166396609546477E-2</v>
      </c>
      <c r="T74" s="40">
        <f t="shared" si="26"/>
        <v>203960.46839362558</v>
      </c>
      <c r="U74" s="28">
        <f t="shared" si="27"/>
        <v>201130.21347349562</v>
      </c>
      <c r="V74" s="28" t="e">
        <f>(#REF!*$C$13)+$B$34</f>
        <v>#REF!</v>
      </c>
      <c r="W74" s="28" t="e">
        <f t="shared" si="28"/>
        <v>#REF!</v>
      </c>
      <c r="X74" s="28" t="e">
        <f t="shared" si="29"/>
        <v>#REF!</v>
      </c>
      <c r="Y74" s="28" t="e">
        <f t="shared" si="30"/>
        <v>#REF!</v>
      </c>
      <c r="Z74" s="28" t="e">
        <f t="shared" si="31"/>
        <v>#REF!</v>
      </c>
      <c r="AA74" s="16" t="e">
        <f t="shared" si="19"/>
        <v>#REF!</v>
      </c>
      <c r="AE74" s="41" t="e" cm="1">
        <f t="array" ref="AE74">_xlfn.IFS($V74&gt;$W$3,($W$3+$Y$101),$V74&lt;$X$3,($V74+$X74+$Y$101), $V74&lt;$W$3,$V74+$Y$101,$V74&gt;$X$3,$V74+$Y$101)</f>
        <v>#REF!</v>
      </c>
      <c r="AF74" s="41">
        <v>373473.59517715033</v>
      </c>
      <c r="AG74" s="41">
        <v>387477.9425018137</v>
      </c>
      <c r="AH74" s="41">
        <v>403343.84293196176</v>
      </c>
      <c r="AI74" s="41">
        <v>280150.14394985221</v>
      </c>
      <c r="AJ74" s="41">
        <v>383062.78374965652</v>
      </c>
      <c r="AK74" s="41">
        <v>336856.67064791918</v>
      </c>
      <c r="AL74" s="41">
        <v>290650.55754618184</v>
      </c>
      <c r="AM74" s="41">
        <v>267547.50099531311</v>
      </c>
      <c r="AN74" s="41"/>
      <c r="AO74" s="32" t="s">
        <v>160</v>
      </c>
      <c r="AP74" s="41">
        <f t="shared" si="32"/>
        <v>373473.59517715033</v>
      </c>
      <c r="AR74" s="41"/>
    </row>
    <row r="75" spans="1:44" x14ac:dyDescent="0.3">
      <c r="C75" s="66"/>
      <c r="D75" s="42" t="s">
        <v>161</v>
      </c>
      <c r="E75" s="43">
        <v>1109692.26608</v>
      </c>
      <c r="F75" s="43">
        <v>525.87374816600004</v>
      </c>
      <c r="G75" s="43">
        <v>544370.40702699998</v>
      </c>
      <c r="H75" s="43">
        <v>564795.98530299996</v>
      </c>
      <c r="I75" s="43">
        <v>22975.9762854</v>
      </c>
      <c r="J75" s="44">
        <v>23312.329373699999</v>
      </c>
      <c r="K75" s="35">
        <f t="shared" si="20"/>
        <v>518507.67964573397</v>
      </c>
      <c r="L75" s="36">
        <f t="shared" si="21"/>
        <v>1.2823729028999179E-2</v>
      </c>
      <c r="M75" s="45">
        <v>128385</v>
      </c>
      <c r="N75" s="38">
        <f t="shared" si="22"/>
        <v>2.2498052219103358E-2</v>
      </c>
      <c r="O75" s="38">
        <f t="shared" si="23"/>
        <v>50.447319504382698</v>
      </c>
      <c r="P75" s="38">
        <f t="shared" si="24"/>
        <v>1.7567801875898039E-2</v>
      </c>
      <c r="Q75" s="76">
        <v>38268.611370600003</v>
      </c>
      <c r="R75" s="43">
        <v>1796.0627734699999</v>
      </c>
      <c r="S75" s="39">
        <f t="shared" si="25"/>
        <v>1.9727877678394543E-2</v>
      </c>
      <c r="T75" s="40">
        <f t="shared" si="26"/>
        <v>178920.62969067917</v>
      </c>
      <c r="U75" s="28">
        <f t="shared" si="27"/>
        <v>186316.00520548713</v>
      </c>
      <c r="V75" s="28" t="e">
        <f>(#REF!*$C$13)+$B$34</f>
        <v>#REF!</v>
      </c>
      <c r="W75" s="28" t="e">
        <f t="shared" si="28"/>
        <v>#REF!</v>
      </c>
      <c r="X75" s="28" t="e">
        <f t="shared" si="29"/>
        <v>#REF!</v>
      </c>
      <c r="Y75" s="28" t="e">
        <f t="shared" si="30"/>
        <v>#REF!</v>
      </c>
      <c r="Z75" s="28" t="e">
        <f t="shared" si="31"/>
        <v>#REF!</v>
      </c>
      <c r="AA75" s="16" t="e">
        <f t="shared" si="19"/>
        <v>#REF!</v>
      </c>
      <c r="AE75" s="41" t="e" cm="1">
        <f t="array" ref="AE75">_xlfn.IFS($V75&gt;$W$3,($W$3+$Y$101),$V75&lt;$X$3,($V75+$X75+$Y$101), $V75&lt;$W$3,$V75+$Y$101,$V75&gt;$X$3,$V75+$Y$101)</f>
        <v>#REF!</v>
      </c>
      <c r="AF75" s="41">
        <v>289616.49717524892</v>
      </c>
      <c r="AG75" s="41">
        <v>303620.84449991235</v>
      </c>
      <c r="AH75" s="41">
        <v>319486.74493006041</v>
      </c>
      <c r="AI75" s="41">
        <v>315000.08739466046</v>
      </c>
      <c r="AJ75" s="41">
        <v>257277.1367468044</v>
      </c>
      <c r="AK75" s="41">
        <v>252999.57264601777</v>
      </c>
      <c r="AL75" s="41">
        <v>248722.0085452311</v>
      </c>
      <c r="AM75" s="41">
        <v>246583.22649483779</v>
      </c>
      <c r="AN75" s="41"/>
      <c r="AO75" s="42" t="s">
        <v>161</v>
      </c>
      <c r="AP75" s="41">
        <f t="shared" si="32"/>
        <v>289616.49717524892</v>
      </c>
      <c r="AR75" s="41"/>
    </row>
    <row r="76" spans="1:44" x14ac:dyDescent="0.3">
      <c r="A76" s="65"/>
      <c r="C76" s="66"/>
      <c r="D76" s="32" t="s">
        <v>162</v>
      </c>
      <c r="E76" s="33">
        <v>235434.10308199999</v>
      </c>
      <c r="F76" s="33">
        <v>4473.4932468099996</v>
      </c>
      <c r="G76" s="33">
        <v>7057.9972792799999</v>
      </c>
      <c r="H76" s="33">
        <v>223902.61255600001</v>
      </c>
      <c r="I76" s="33">
        <v>4192.4991407099997</v>
      </c>
      <c r="J76" s="34">
        <v>7268.9991289999998</v>
      </c>
      <c r="K76" s="35">
        <f t="shared" si="20"/>
        <v>212441.1142862</v>
      </c>
      <c r="L76" s="36">
        <f t="shared" si="21"/>
        <v>5.2540924487101551E-3</v>
      </c>
      <c r="M76" s="37">
        <v>150928</v>
      </c>
      <c r="N76" s="38">
        <f t="shared" si="22"/>
        <v>2.6448463802818335E-2</v>
      </c>
      <c r="O76" s="38">
        <f t="shared" si="23"/>
        <v>53.242275176761368</v>
      </c>
      <c r="P76" s="38">
        <f t="shared" si="24"/>
        <v>1.8541118753517275E-2</v>
      </c>
      <c r="Q76" s="76">
        <v>11278.0109792</v>
      </c>
      <c r="R76" s="33">
        <v>691.81421422799997</v>
      </c>
      <c r="S76" s="39">
        <f t="shared" si="25"/>
        <v>7.5988581223676195E-3</v>
      </c>
      <c r="T76" s="40">
        <f t="shared" si="26"/>
        <v>169026.15013667449</v>
      </c>
      <c r="U76" s="28">
        <f t="shared" si="27"/>
        <v>180887.16771062609</v>
      </c>
      <c r="V76" s="28" t="e">
        <f>(#REF!*$C$13)+$B$34</f>
        <v>#REF!</v>
      </c>
      <c r="W76" s="28" t="e">
        <f t="shared" si="28"/>
        <v>#REF!</v>
      </c>
      <c r="X76" s="28" t="e">
        <f t="shared" si="29"/>
        <v>#REF!</v>
      </c>
      <c r="Y76" s="28" t="e">
        <f t="shared" si="30"/>
        <v>#REF!</v>
      </c>
      <c r="Z76" s="28" t="e">
        <f t="shared" si="31"/>
        <v>#REF!</v>
      </c>
      <c r="AA76" s="16" t="e">
        <f t="shared" si="19"/>
        <v>#REF!</v>
      </c>
      <c r="AE76" s="41" t="e" cm="1">
        <f t="array" ref="AE76">_xlfn.IFS($V76&gt;$W$3,($W$3+$Y$101),$V76&lt;$X$3,($V76+$X76+$Y$101), $V76&lt;$W$3,$V76+$Y$101,$V76&gt;$X$3,$V76+$Y$101)</f>
        <v>#REF!</v>
      </c>
      <c r="AF76" s="41">
        <v>255925.34199003279</v>
      </c>
      <c r="AG76" s="41">
        <v>269929.68931469612</v>
      </c>
      <c r="AH76" s="41">
        <v>285795.58974484424</v>
      </c>
      <c r="AI76" s="41">
        <v>301146.49037460826</v>
      </c>
      <c r="AJ76" s="41">
        <v>206740.40396898019</v>
      </c>
      <c r="AK76" s="41">
        <v>219308.4174608016</v>
      </c>
      <c r="AL76" s="41">
        <v>231876.43095262302</v>
      </c>
      <c r="AM76" s="41">
        <v>238160.43769853373</v>
      </c>
      <c r="AN76" s="41"/>
      <c r="AO76" s="32" t="s">
        <v>162</v>
      </c>
      <c r="AP76" s="41">
        <f t="shared" si="32"/>
        <v>255925.34199003279</v>
      </c>
      <c r="AR76" s="41"/>
    </row>
    <row r="77" spans="1:44" x14ac:dyDescent="0.3">
      <c r="A77" s="65"/>
      <c r="C77" s="66"/>
      <c r="D77" s="42" t="s">
        <v>163</v>
      </c>
      <c r="E77" s="43">
        <v>288362.85801800003</v>
      </c>
      <c r="F77" s="43">
        <v>30436.8007272</v>
      </c>
      <c r="G77" s="43">
        <v>9050.1816949599997</v>
      </c>
      <c r="H77" s="43">
        <v>248875.875596</v>
      </c>
      <c r="I77" s="43">
        <v>0</v>
      </c>
      <c r="J77" s="44">
        <v>7274.8334816899996</v>
      </c>
      <c r="K77" s="35">
        <f t="shared" si="20"/>
        <v>241601.04211415004</v>
      </c>
      <c r="L77" s="36">
        <f t="shared" si="21"/>
        <v>5.9752756204353927E-3</v>
      </c>
      <c r="M77" s="45">
        <v>97183</v>
      </c>
      <c r="N77" s="38">
        <f t="shared" si="22"/>
        <v>1.7030246592741532E-2</v>
      </c>
      <c r="O77" s="38">
        <f t="shared" si="23"/>
        <v>45.975885281082071</v>
      </c>
      <c r="P77" s="38">
        <f t="shared" si="24"/>
        <v>1.6010667199411788E-2</v>
      </c>
      <c r="Q77" s="76">
        <v>8963.8105268800009</v>
      </c>
      <c r="R77" s="43">
        <v>624.917158782</v>
      </c>
      <c r="S77" s="39">
        <f t="shared" si="25"/>
        <v>6.8640636895796556E-3</v>
      </c>
      <c r="T77" s="40">
        <f t="shared" si="26"/>
        <v>166312.24756310412</v>
      </c>
      <c r="U77" s="28">
        <f t="shared" si="27"/>
        <v>167841.61665309872</v>
      </c>
      <c r="V77" s="28" t="e">
        <f>(#REF!*$C$13)+$B$34</f>
        <v>#REF!</v>
      </c>
      <c r="W77" s="28" t="e">
        <f t="shared" si="28"/>
        <v>#REF!</v>
      </c>
      <c r="X77" s="28" t="e">
        <f t="shared" si="29"/>
        <v>#REF!</v>
      </c>
      <c r="Y77" s="28" t="e">
        <f t="shared" si="30"/>
        <v>#REF!</v>
      </c>
      <c r="Z77" s="28" t="e">
        <f t="shared" si="31"/>
        <v>#REF!</v>
      </c>
      <c r="AA77" s="16" t="e">
        <f t="shared" si="19"/>
        <v>#REF!</v>
      </c>
      <c r="AE77" s="41" t="e" cm="1">
        <f t="array" ref="AE77">_xlfn.IFS($V77&gt;$W$3,($W$3+$Y$101),$V77&lt;$X$3,($V77+$X77+$Y$101), $V77&lt;$W$3,$V77+$Y$101,$V77&gt;$X$3,$V77+$Y$101)</f>
        <v>#REF!</v>
      </c>
      <c r="AF77" s="41">
        <v>257803.04942932812</v>
      </c>
      <c r="AG77" s="41">
        <v>271807.39675399149</v>
      </c>
      <c r="AH77" s="41">
        <v>287673.29718413961</v>
      </c>
      <c r="AI77" s="41">
        <v>260305.5463232958</v>
      </c>
      <c r="AJ77" s="41">
        <v>209556.96512792318</v>
      </c>
      <c r="AK77" s="41">
        <v>221186.12490009694</v>
      </c>
      <c r="AL77" s="41">
        <v>232815.2846722707</v>
      </c>
      <c r="AM77" s="41">
        <v>238629.86455835757</v>
      </c>
      <c r="AN77" s="41"/>
      <c r="AO77" s="42" t="s">
        <v>163</v>
      </c>
      <c r="AP77" s="41">
        <f t="shared" si="32"/>
        <v>257803.04942932812</v>
      </c>
      <c r="AR77" s="41"/>
    </row>
    <row r="78" spans="1:44" x14ac:dyDescent="0.3">
      <c r="A78" s="65"/>
      <c r="C78" s="66"/>
      <c r="D78" s="32" t="s">
        <v>164</v>
      </c>
      <c r="E78" s="33">
        <v>384226.03868499998</v>
      </c>
      <c r="F78" s="33">
        <v>989.41455409299999</v>
      </c>
      <c r="G78" s="33">
        <v>2365.78177542</v>
      </c>
      <c r="H78" s="33">
        <v>380870.84235499997</v>
      </c>
      <c r="I78" s="33">
        <v>0</v>
      </c>
      <c r="J78" s="34">
        <v>2018.5697721900001</v>
      </c>
      <c r="K78" s="35">
        <f t="shared" si="20"/>
        <v>378852.27258329699</v>
      </c>
      <c r="L78" s="36">
        <f t="shared" si="21"/>
        <v>9.3697722836971822E-3</v>
      </c>
      <c r="M78" s="37">
        <v>14836</v>
      </c>
      <c r="N78" s="38">
        <f t="shared" si="22"/>
        <v>2.5998450186752145E-3</v>
      </c>
      <c r="O78" s="38">
        <f t="shared" si="23"/>
        <v>24.571911448441377</v>
      </c>
      <c r="P78" s="38">
        <f t="shared" si="24"/>
        <v>8.5569357555425017E-3</v>
      </c>
      <c r="Q78" s="76">
        <v>11202.767767699999</v>
      </c>
      <c r="R78" s="33">
        <v>442.49528589400001</v>
      </c>
      <c r="S78" s="39">
        <f t="shared" si="25"/>
        <v>4.8603495391854497E-3</v>
      </c>
      <c r="T78" s="40">
        <f t="shared" si="26"/>
        <v>160223.39539219288</v>
      </c>
      <c r="U78" s="28">
        <f t="shared" si="27"/>
        <v>151287.75928689193</v>
      </c>
      <c r="V78" s="28" t="e">
        <f>(#REF!*$C$13)+$B$34</f>
        <v>#REF!</v>
      </c>
      <c r="W78" s="28" t="e">
        <f t="shared" si="28"/>
        <v>#REF!</v>
      </c>
      <c r="X78" s="28" t="e">
        <f t="shared" si="29"/>
        <v>#REF!</v>
      </c>
      <c r="Y78" s="28" t="e">
        <f t="shared" si="30"/>
        <v>#REF!</v>
      </c>
      <c r="Z78" s="28" t="e">
        <f t="shared" si="31"/>
        <v>#REF!</v>
      </c>
      <c r="AA78" s="16" t="e">
        <f t="shared" si="19"/>
        <v>#REF!</v>
      </c>
      <c r="AE78" s="41" t="e" cm="1">
        <f t="array" ref="AE78">_xlfn.IFS($V78&gt;$W$3,($W$3+$Y$101),$V78&lt;$X$3,($V78+$X78+$Y$101), $V78&lt;$W$3,$V78+$Y$101,$V78&gt;$X$3,$V78+$Y$101)</f>
        <v>#REF!</v>
      </c>
      <c r="AF78" s="41">
        <v>220267.00093598434</v>
      </c>
      <c r="AG78" s="41">
        <v>217525.84713778348</v>
      </c>
      <c r="AH78" s="41">
        <v>216261.8337560455</v>
      </c>
      <c r="AI78" s="41">
        <v>202706.60344890325</v>
      </c>
      <c r="AJ78" s="41">
        <v>231397.68536683478</v>
      </c>
      <c r="AK78" s="41">
        <v>235746.60505937136</v>
      </c>
      <c r="AL78" s="41">
        <v>240095.52475190788</v>
      </c>
      <c r="AM78" s="41">
        <v>242269.98459817618</v>
      </c>
      <c r="AN78" s="41"/>
      <c r="AO78" s="32" t="s">
        <v>164</v>
      </c>
      <c r="AP78" s="41">
        <f t="shared" si="32"/>
        <v>220267.00093598434</v>
      </c>
      <c r="AR78" s="41"/>
    </row>
    <row r="79" spans="1:44" x14ac:dyDescent="0.3">
      <c r="A79" s="78"/>
      <c r="C79" s="66"/>
      <c r="D79" s="42" t="s">
        <v>165</v>
      </c>
      <c r="E79" s="43">
        <v>889303.05865699996</v>
      </c>
      <c r="F79" s="43">
        <v>9871.7685973299995</v>
      </c>
      <c r="G79" s="43">
        <v>12624.0335651</v>
      </c>
      <c r="H79" s="43">
        <v>866807.25649499998</v>
      </c>
      <c r="I79" s="43">
        <v>0</v>
      </c>
      <c r="J79" s="44">
        <v>10162.922176399999</v>
      </c>
      <c r="K79" s="35">
        <f t="shared" si="20"/>
        <v>856644.33431816997</v>
      </c>
      <c r="L79" s="36">
        <f t="shared" si="21"/>
        <v>2.118652287856037E-2</v>
      </c>
      <c r="M79" s="45">
        <v>158292</v>
      </c>
      <c r="N79" s="38">
        <f t="shared" si="22"/>
        <v>2.7738923409014363E-2</v>
      </c>
      <c r="O79" s="38">
        <f t="shared" si="23"/>
        <v>54.094484787578331</v>
      </c>
      <c r="P79" s="38">
        <f t="shared" si="24"/>
        <v>1.8837892690104094E-2</v>
      </c>
      <c r="Q79" s="76">
        <v>33015.9625399</v>
      </c>
      <c r="R79" s="43">
        <v>1694.50514178</v>
      </c>
      <c r="S79" s="39">
        <f t="shared" si="25"/>
        <v>1.8612372939427677E-2</v>
      </c>
      <c r="T79" s="40">
        <f t="shared" si="26"/>
        <v>193369.95668633003</v>
      </c>
      <c r="U79" s="28">
        <f t="shared" si="27"/>
        <v>206721.50276469544</v>
      </c>
      <c r="V79" s="28" t="e">
        <f>(#REF!*$C$13)+$B$34</f>
        <v>#REF!</v>
      </c>
      <c r="W79" s="28" t="e">
        <f t="shared" si="28"/>
        <v>#REF!</v>
      </c>
      <c r="X79" s="28" t="e">
        <f t="shared" si="29"/>
        <v>#REF!</v>
      </c>
      <c r="Y79" s="28" t="e">
        <f t="shared" si="30"/>
        <v>#REF!</v>
      </c>
      <c r="Z79" s="28" t="e">
        <f t="shared" si="31"/>
        <v>#REF!</v>
      </c>
      <c r="AA79" s="16" t="e">
        <f t="shared" si="19"/>
        <v>#REF!</v>
      </c>
      <c r="AE79" s="41" t="e" cm="1">
        <f t="array" ref="AE79">_xlfn.IFS($V79&gt;$W$3,($W$3+$Y$101),$V79&lt;$X$3,($V79+$X79+$Y$101), $V79&lt;$W$3,$V79+$Y$101,$V79&gt;$X$3,$V79+$Y$101)</f>
        <v>#REF!</v>
      </c>
      <c r="AF79" s="41">
        <v>323050.73881339183</v>
      </c>
      <c r="AG79" s="41">
        <v>337055.08613805519</v>
      </c>
      <c r="AH79" s="41">
        <v>352920.98656820331</v>
      </c>
      <c r="AI79" s="41">
        <v>339087.30207449838</v>
      </c>
      <c r="AJ79" s="41">
        <v>307428.49920401874</v>
      </c>
      <c r="AK79" s="41">
        <v>286433.81428416068</v>
      </c>
      <c r="AL79" s="41">
        <v>265439.12936430256</v>
      </c>
      <c r="AM79" s="41">
        <v>254941.7869043735</v>
      </c>
      <c r="AN79" s="41"/>
      <c r="AO79" s="42" t="s">
        <v>165</v>
      </c>
      <c r="AP79" s="41">
        <f t="shared" si="32"/>
        <v>323050.73881339183</v>
      </c>
      <c r="AR79" s="41"/>
    </row>
    <row r="80" spans="1:44" x14ac:dyDescent="0.3">
      <c r="A80" s="65"/>
      <c r="C80" s="66"/>
      <c r="D80" s="32" t="s">
        <v>166</v>
      </c>
      <c r="E80" s="33">
        <v>276423.12974900001</v>
      </c>
      <c r="F80" s="33">
        <v>883.82426719800003</v>
      </c>
      <c r="G80" s="33">
        <v>4953.8500057299998</v>
      </c>
      <c r="H80" s="33">
        <v>270585.45547699998</v>
      </c>
      <c r="I80" s="33">
        <v>0</v>
      </c>
      <c r="J80" s="34">
        <v>2683.80804618</v>
      </c>
      <c r="K80" s="35">
        <f t="shared" si="20"/>
        <v>267901.64742989204</v>
      </c>
      <c r="L80" s="36">
        <f t="shared" si="21"/>
        <v>6.6257420438028715E-3</v>
      </c>
      <c r="M80" s="37">
        <v>37406</v>
      </c>
      <c r="N80" s="38">
        <f t="shared" si="22"/>
        <v>6.5549880539609784E-3</v>
      </c>
      <c r="O80" s="38">
        <f t="shared" si="23"/>
        <v>33.44365668215174</v>
      </c>
      <c r="P80" s="38">
        <f t="shared" si="24"/>
        <v>1.1646437122324259E-2</v>
      </c>
      <c r="Q80" s="76">
        <v>1760.50601463</v>
      </c>
      <c r="R80" s="33">
        <v>154.960267996</v>
      </c>
      <c r="S80" s="39">
        <f t="shared" si="25"/>
        <v>1.7020770416226142E-3</v>
      </c>
      <c r="T80" s="40">
        <f t="shared" si="26"/>
        <v>160741.60208252404</v>
      </c>
      <c r="U80" s="28">
        <f t="shared" si="27"/>
        <v>153104.42847997911</v>
      </c>
      <c r="V80" s="28" t="e">
        <f>(#REF!*$C$13)+$B$34</f>
        <v>#REF!</v>
      </c>
      <c r="W80" s="28" t="e">
        <f t="shared" si="28"/>
        <v>#REF!</v>
      </c>
      <c r="X80" s="28" t="e">
        <f t="shared" si="29"/>
        <v>#REF!</v>
      </c>
      <c r="Y80" s="28" t="e">
        <f t="shared" si="30"/>
        <v>#REF!</v>
      </c>
      <c r="Z80" s="28" t="e">
        <f t="shared" si="31"/>
        <v>#REF!</v>
      </c>
      <c r="AA80" s="16" t="e">
        <f t="shared" si="19"/>
        <v>#REF!</v>
      </c>
      <c r="AE80" s="41" t="e" cm="1">
        <f t="array" ref="AE80">_xlfn.IFS($V80&gt;$W$3,($W$3+$Y$101),$V80&lt;$X$3,($V80+$X80+$Y$101), $V80&lt;$W$3,$V80+$Y$101,$V80&gt;$X$3,$V80+$Y$101)</f>
        <v>#REF!</v>
      </c>
      <c r="AF80" s="41">
        <v>260593.18428325828</v>
      </c>
      <c r="AG80" s="41">
        <v>211882.3840197231</v>
      </c>
      <c r="AH80" s="41">
        <v>214544.05577520898</v>
      </c>
      <c r="AI80" s="41">
        <v>214114.93973814679</v>
      </c>
      <c r="AJ80" s="41">
        <v>213742.16740881841</v>
      </c>
      <c r="AK80" s="41">
        <v>223976.25975402709</v>
      </c>
      <c r="AL80" s="41">
        <v>234210.35209923578</v>
      </c>
      <c r="AM80" s="41">
        <v>239327.39827184009</v>
      </c>
      <c r="AN80" s="41"/>
      <c r="AO80" s="32" t="s">
        <v>166</v>
      </c>
      <c r="AP80" s="41">
        <f t="shared" si="32"/>
        <v>260593.18428325828</v>
      </c>
      <c r="AR80" s="41"/>
    </row>
    <row r="81" spans="1:44" x14ac:dyDescent="0.3">
      <c r="A81" s="65"/>
      <c r="C81" s="66"/>
      <c r="D81" s="42" t="s">
        <v>167</v>
      </c>
      <c r="E81" s="43">
        <v>368444.72645000002</v>
      </c>
      <c r="F81" s="43">
        <v>9826.3470430300003</v>
      </c>
      <c r="G81" s="43">
        <v>3801.66587875</v>
      </c>
      <c r="H81" s="43">
        <v>354816.71352799999</v>
      </c>
      <c r="I81" s="43">
        <v>0</v>
      </c>
      <c r="J81" s="44">
        <v>2806.0268397599998</v>
      </c>
      <c r="K81" s="35">
        <f t="shared" si="20"/>
        <v>352010.68668846</v>
      </c>
      <c r="L81" s="36">
        <f t="shared" si="21"/>
        <v>8.7059263316773879E-3</v>
      </c>
      <c r="M81" s="45">
        <v>9671</v>
      </c>
      <c r="N81" s="38">
        <f t="shared" si="22"/>
        <v>1.6947358570779186E-3</v>
      </c>
      <c r="O81" s="38">
        <f t="shared" si="23"/>
        <v>21.305437714736659</v>
      </c>
      <c r="P81" s="38">
        <f t="shared" si="24"/>
        <v>7.4194171727848179E-3</v>
      </c>
      <c r="Q81" s="76">
        <v>12719.0739171</v>
      </c>
      <c r="R81" s="43">
        <v>641.44236813600003</v>
      </c>
      <c r="S81" s="39">
        <f t="shared" si="25"/>
        <v>7.0455758914698642E-3</v>
      </c>
      <c r="T81" s="40">
        <f t="shared" si="26"/>
        <v>157521.34859002667</v>
      </c>
      <c r="U81" s="28">
        <f t="shared" si="27"/>
        <v>148934.32661646631</v>
      </c>
      <c r="V81" s="28" t="e">
        <f>(#REF!*$C$13)+$B$34</f>
        <v>#REF!</v>
      </c>
      <c r="W81" s="28" t="e">
        <f t="shared" si="28"/>
        <v>#REF!</v>
      </c>
      <c r="X81" s="28" t="e">
        <f t="shared" si="29"/>
        <v>#REF!</v>
      </c>
      <c r="Y81" s="28" t="e">
        <f t="shared" si="30"/>
        <v>#REF!</v>
      </c>
      <c r="Z81" s="28" t="e">
        <f t="shared" si="31"/>
        <v>#REF!</v>
      </c>
      <c r="AA81" s="16" t="e">
        <f t="shared" si="19"/>
        <v>#REF!</v>
      </c>
      <c r="AE81" s="41" t="e" cm="1">
        <f t="array" ref="AE81">_xlfn.IFS($V81&gt;$W$3,($W$3+$Y$101),$V81&lt;$X$3,($V81+$X81+$Y$101), $V81&lt;$W$3,$V81+$Y$101,$V81&gt;$X$3,$V81+$Y$101)</f>
        <v>#REF!</v>
      </c>
      <c r="AF81" s="41">
        <v>211761.75915208482</v>
      </c>
      <c r="AG81" s="41">
        <v>211274.41380967008</v>
      </c>
      <c r="AH81" s="41">
        <v>213414.30825460318</v>
      </c>
      <c r="AI81" s="41">
        <v>197260.89721788725</v>
      </c>
      <c r="AJ81" s="41">
        <v>227126.3971146713</v>
      </c>
      <c r="AK81" s="41">
        <v>232899.07955792901</v>
      </c>
      <c r="AL81" s="41">
        <v>238671.76200118673</v>
      </c>
      <c r="AM81" s="41">
        <v>241558.10322281558</v>
      </c>
      <c r="AN81" s="41"/>
      <c r="AO81" s="42" t="s">
        <v>167</v>
      </c>
      <c r="AP81" s="41">
        <f t="shared" si="32"/>
        <v>211761.75915208482</v>
      </c>
      <c r="AR81" s="41"/>
    </row>
    <row r="82" spans="1:44" x14ac:dyDescent="0.3">
      <c r="A82" s="65"/>
      <c r="C82" s="66"/>
      <c r="D82" s="32" t="s">
        <v>168</v>
      </c>
      <c r="E82" s="33">
        <v>481408.83304699999</v>
      </c>
      <c r="F82" s="33">
        <v>8209.2772578399999</v>
      </c>
      <c r="G82" s="33">
        <v>11410.3365971</v>
      </c>
      <c r="H82" s="33">
        <v>461789.21919199999</v>
      </c>
      <c r="I82" s="33">
        <v>0</v>
      </c>
      <c r="J82" s="34">
        <v>1424.29953473</v>
      </c>
      <c r="K82" s="35">
        <f t="shared" si="20"/>
        <v>460364.91965733003</v>
      </c>
      <c r="L82" s="36">
        <f t="shared" si="21"/>
        <v>1.138574261460536E-2</v>
      </c>
      <c r="M82" s="37">
        <v>9838</v>
      </c>
      <c r="N82" s="38">
        <f t="shared" si="22"/>
        <v>1.7240007612379861E-3</v>
      </c>
      <c r="O82" s="38">
        <f t="shared" si="23"/>
        <v>21.427373478004135</v>
      </c>
      <c r="P82" s="38">
        <f t="shared" si="24"/>
        <v>7.4618801490482708E-3</v>
      </c>
      <c r="Q82" s="76">
        <v>8207.3773532199993</v>
      </c>
      <c r="R82" s="33">
        <v>673.39427277499999</v>
      </c>
      <c r="S82" s="39">
        <f t="shared" si="25"/>
        <v>7.3965342630929742E-3</v>
      </c>
      <c r="T82" s="40">
        <f t="shared" si="26"/>
        <v>161604.7674788138</v>
      </c>
      <c r="U82" s="28">
        <f t="shared" si="27"/>
        <v>152997.94839709837</v>
      </c>
      <c r="V82" s="28" t="e">
        <f>(#REF!*$C$13)+$B$34</f>
        <v>#REF!</v>
      </c>
      <c r="W82" s="28" t="e">
        <f t="shared" si="28"/>
        <v>#REF!</v>
      </c>
      <c r="X82" s="28" t="e">
        <f t="shared" si="29"/>
        <v>#REF!</v>
      </c>
      <c r="Y82" s="28" t="e">
        <f t="shared" si="30"/>
        <v>#REF!</v>
      </c>
      <c r="Z82" s="28" t="e">
        <f t="shared" si="31"/>
        <v>#REF!</v>
      </c>
      <c r="AA82" s="16" t="e">
        <f t="shared" si="19"/>
        <v>#REF!</v>
      </c>
      <c r="AE82" s="41" t="e" cm="1">
        <f t="array" ref="AE82">_xlfn.IFS($V82&gt;$W$3,($W$3+$Y$101),$V82&lt;$X$3,($V82+$X82+$Y$101), $V82&lt;$W$3,$V82+$Y$101,$V82&gt;$X$3,$V82+$Y$101)</f>
        <v>#REF!</v>
      </c>
      <c r="AF82" s="41">
        <v>223256.6627236144</v>
      </c>
      <c r="AG82" s="41">
        <v>222769.31738119965</v>
      </c>
      <c r="AH82" s="41">
        <v>224909.21182613276</v>
      </c>
      <c r="AI82" s="41">
        <v>203046.12458934006</v>
      </c>
      <c r="AJ82" s="41">
        <v>244368.75247196568</v>
      </c>
      <c r="AK82" s="41">
        <v>244393.98312945862</v>
      </c>
      <c r="AL82" s="41">
        <v>244419.21378695153</v>
      </c>
      <c r="AM82" s="41">
        <v>244431.829115698</v>
      </c>
      <c r="AN82" s="41"/>
      <c r="AO82" s="32" t="s">
        <v>168</v>
      </c>
      <c r="AP82" s="41">
        <f t="shared" si="32"/>
        <v>223256.6627236144</v>
      </c>
      <c r="AR82" s="41"/>
    </row>
    <row r="83" spans="1:44" x14ac:dyDescent="0.3">
      <c r="A83" s="65"/>
      <c r="C83" s="66"/>
      <c r="D83" s="42" t="s">
        <v>169</v>
      </c>
      <c r="E83" s="43">
        <v>626790.12006500002</v>
      </c>
      <c r="F83" s="43">
        <v>732.18145941</v>
      </c>
      <c r="G83" s="43">
        <v>15283.8969677</v>
      </c>
      <c r="H83" s="43">
        <v>610774.04163800005</v>
      </c>
      <c r="I83" s="43">
        <v>0</v>
      </c>
      <c r="J83" s="44">
        <v>1953.9073112799999</v>
      </c>
      <c r="K83" s="35">
        <f t="shared" si="20"/>
        <v>608820.13432661002</v>
      </c>
      <c r="L83" s="36">
        <f t="shared" si="21"/>
        <v>1.5057336152354833E-2</v>
      </c>
      <c r="M83" s="45">
        <v>25262</v>
      </c>
      <c r="N83" s="38">
        <f t="shared" si="22"/>
        <v>4.4268862807881684E-3</v>
      </c>
      <c r="O83" s="38">
        <f t="shared" si="23"/>
        <v>29.341968302652262</v>
      </c>
      <c r="P83" s="38">
        <f t="shared" si="24"/>
        <v>1.0218062938806739E-2</v>
      </c>
      <c r="Q83" s="76">
        <v>24697.603002700002</v>
      </c>
      <c r="R83" s="43">
        <v>1020.86828579</v>
      </c>
      <c r="S83" s="39">
        <f t="shared" si="25"/>
        <v>1.1213174152542414E-2</v>
      </c>
      <c r="T83" s="40">
        <f t="shared" si="26"/>
        <v>171246.4319700757</v>
      </c>
      <c r="U83" s="28">
        <f t="shared" si="27"/>
        <v>162559.66698304785</v>
      </c>
      <c r="V83" s="28" t="e">
        <f>(#REF!*$C$13)+$B$34</f>
        <v>#REF!</v>
      </c>
      <c r="W83" s="28" t="e">
        <f t="shared" si="28"/>
        <v>#REF!</v>
      </c>
      <c r="X83" s="28" t="e">
        <f t="shared" si="29"/>
        <v>#REF!</v>
      </c>
      <c r="Y83" s="28" t="e">
        <f t="shared" si="30"/>
        <v>#REF!</v>
      </c>
      <c r="Z83" s="28" t="e">
        <f t="shared" si="31"/>
        <v>#REF!</v>
      </c>
      <c r="AA83" s="16" t="e">
        <f t="shared" si="19"/>
        <v>#REF!</v>
      </c>
      <c r="AE83" s="41" t="e" cm="1">
        <f t="array" ref="AE83">_xlfn.IFS($V83&gt;$W$3,($W$3+$Y$101),$V83&lt;$X$3,($V83+$X83+$Y$101), $V83&lt;$W$3,$V83+$Y$101,$V83&gt;$X$3,$V83+$Y$101)</f>
        <v>#REF!</v>
      </c>
      <c r="AF83" s="41">
        <v>244663.44879833682</v>
      </c>
      <c r="AG83" s="41">
        <v>248049.17718741985</v>
      </c>
      <c r="AH83" s="41">
        <v>244518.39397565176</v>
      </c>
      <c r="AI83" s="41">
        <v>222860.82828417051</v>
      </c>
      <c r="AJ83" s="41">
        <v>267992.35716036352</v>
      </c>
      <c r="AK83" s="41">
        <v>260143.05292172384</v>
      </c>
      <c r="AL83" s="41">
        <v>252293.74868308415</v>
      </c>
      <c r="AM83" s="41">
        <v>248369.09656376429</v>
      </c>
      <c r="AN83" s="41"/>
      <c r="AO83" s="42" t="s">
        <v>169</v>
      </c>
      <c r="AP83" s="41">
        <f t="shared" si="32"/>
        <v>244663.44879833682</v>
      </c>
      <c r="AR83" s="41"/>
    </row>
    <row r="84" spans="1:44" x14ac:dyDescent="0.3">
      <c r="A84" s="65"/>
      <c r="C84" s="66"/>
      <c r="D84" s="32" t="s">
        <v>170</v>
      </c>
      <c r="E84" s="33">
        <v>375507.01282</v>
      </c>
      <c r="F84" s="33">
        <v>5049.7829912500001</v>
      </c>
      <c r="G84" s="33">
        <v>1140.79258123</v>
      </c>
      <c r="H84" s="33">
        <v>369316.43724699999</v>
      </c>
      <c r="I84" s="33">
        <v>0</v>
      </c>
      <c r="J84" s="34">
        <v>1073.24435649</v>
      </c>
      <c r="K84" s="35">
        <f t="shared" si="20"/>
        <v>368243.19289103005</v>
      </c>
      <c r="L84" s="36">
        <f t="shared" si="21"/>
        <v>9.1073885841661678E-3</v>
      </c>
      <c r="M84" s="37">
        <v>3360</v>
      </c>
      <c r="N84" s="38">
        <f t="shared" si="22"/>
        <v>5.8880286214267467E-4</v>
      </c>
      <c r="O84" s="38">
        <f t="shared" si="23"/>
        <v>14.977744774437006</v>
      </c>
      <c r="P84" s="38">
        <f t="shared" si="24"/>
        <v>5.215857954994357E-3</v>
      </c>
      <c r="Q84" s="76">
        <v>9772.5696219199999</v>
      </c>
      <c r="R84" s="33">
        <v>421.203664054</v>
      </c>
      <c r="S84" s="39">
        <f t="shared" si="25"/>
        <v>4.6264832637753547E-3</v>
      </c>
      <c r="T84" s="40">
        <f t="shared" si="26"/>
        <v>154818.20314207414</v>
      </c>
      <c r="U84" s="28">
        <f t="shared" si="27"/>
        <v>147877.62050279661</v>
      </c>
      <c r="V84" s="28" t="e">
        <f>(#REF!*$C$13)+$B$34</f>
        <v>#REF!</v>
      </c>
      <c r="W84" s="28" t="e">
        <f t="shared" si="28"/>
        <v>#REF!</v>
      </c>
      <c r="X84" s="28" t="e">
        <f t="shared" si="29"/>
        <v>#REF!</v>
      </c>
      <c r="Y84" s="28" t="e">
        <f t="shared" si="30"/>
        <v>#REF!</v>
      </c>
      <c r="Z84" s="28" t="e">
        <f t="shared" si="31"/>
        <v>#REF!</v>
      </c>
      <c r="AA84" s="16" t="e">
        <f t="shared" si="19"/>
        <v>#REF!</v>
      </c>
      <c r="AE84" s="41" t="e" cm="1">
        <f t="array" ref="AE84">_xlfn.IFS($V84&gt;$W$3,($W$3+$Y$101),$V84&lt;$X$3,($V84+$X84+$Y$101), $V84&lt;$W$3,$V84+$Y$101,$V84&gt;$X$3,$V84+$Y$101)</f>
        <v>#REF!</v>
      </c>
      <c r="AF84" s="41">
        <v>213483.8062600774</v>
      </c>
      <c r="AG84" s="41">
        <v>212996.46091766265</v>
      </c>
      <c r="AH84" s="41">
        <v>212675.58861009494</v>
      </c>
      <c r="AI84" s="41">
        <v>193177.17369835256</v>
      </c>
      <c r="AJ84" s="41">
        <v>229709.4677766602</v>
      </c>
      <c r="AK84" s="41">
        <v>234621.12666592162</v>
      </c>
      <c r="AL84" s="41">
        <v>239532.78555518304</v>
      </c>
      <c r="AM84" s="41">
        <v>241988.61499981373</v>
      </c>
      <c r="AN84" s="41"/>
      <c r="AO84" s="32" t="s">
        <v>170</v>
      </c>
      <c r="AP84" s="41">
        <f t="shared" si="32"/>
        <v>213483.8062600774</v>
      </c>
      <c r="AR84" s="41"/>
    </row>
    <row r="85" spans="1:44" x14ac:dyDescent="0.3">
      <c r="A85" s="65"/>
      <c r="C85" s="66"/>
      <c r="D85" s="42" t="s">
        <v>171</v>
      </c>
      <c r="E85" s="43">
        <v>351414.834248</v>
      </c>
      <c r="F85" s="43">
        <v>7353.1125994599997</v>
      </c>
      <c r="G85" s="43">
        <v>18954.042756399998</v>
      </c>
      <c r="H85" s="43">
        <v>325107.678892</v>
      </c>
      <c r="I85" s="43">
        <v>0.19515317093599999</v>
      </c>
      <c r="J85" s="44">
        <v>2612.73254296</v>
      </c>
      <c r="K85" s="35">
        <f t="shared" si="20"/>
        <v>322494.75119600905</v>
      </c>
      <c r="L85" s="36">
        <f t="shared" si="21"/>
        <v>7.9759383803876018E-3</v>
      </c>
      <c r="M85" s="45">
        <v>21387</v>
      </c>
      <c r="N85" s="38">
        <f t="shared" si="22"/>
        <v>3.747835360906364E-3</v>
      </c>
      <c r="O85" s="38">
        <f t="shared" si="23"/>
        <v>27.757687992440161</v>
      </c>
      <c r="P85" s="38">
        <f t="shared" si="24"/>
        <v>9.6663523052363167E-3</v>
      </c>
      <c r="Q85" s="76">
        <v>16681.671910500001</v>
      </c>
      <c r="R85" s="43">
        <v>533.65215343600005</v>
      </c>
      <c r="S85" s="39">
        <f t="shared" si="25"/>
        <v>5.8616127238456427E-3</v>
      </c>
      <c r="T85" s="40">
        <f t="shared" si="26"/>
        <v>159796.76936176923</v>
      </c>
      <c r="U85" s="28">
        <f t="shared" si="27"/>
        <v>150918.9939452743</v>
      </c>
      <c r="V85" s="28" t="e">
        <f>(#REF!*$C$13)+$B$34</f>
        <v>#REF!</v>
      </c>
      <c r="W85" s="28" t="e">
        <f t="shared" si="28"/>
        <v>#REF!</v>
      </c>
      <c r="X85" s="28" t="e">
        <f t="shared" si="29"/>
        <v>#REF!</v>
      </c>
      <c r="Y85" s="28" t="e">
        <f t="shared" si="30"/>
        <v>#REF!</v>
      </c>
      <c r="Z85" s="28" t="e">
        <f t="shared" si="31"/>
        <v>#REF!</v>
      </c>
      <c r="AA85" s="16" t="e">
        <f t="shared" si="19"/>
        <v>#REF!</v>
      </c>
      <c r="AE85" s="41" t="e" cm="1">
        <f t="array" ref="AE85">_xlfn.IFS($V85&gt;$W$3,($W$3+$Y$101),$V85&lt;$X$3,($V85+$X85+$Y$101), $V85&lt;$W$3,$V85+$Y$101,$V85&gt;$X$3,$V85+$Y$101)</f>
        <v>#REF!</v>
      </c>
      <c r="AF85" s="41">
        <v>214288.25868604815</v>
      </c>
      <c r="AG85" s="41">
        <v>211547.10488784729</v>
      </c>
      <c r="AH85" s="41">
        <v>214143.2038633631</v>
      </c>
      <c r="AI85" s="41">
        <v>204799.20499445533</v>
      </c>
      <c r="AJ85" s="41">
        <v>222429.57199193054</v>
      </c>
      <c r="AK85" s="41">
        <v>229767.86280943517</v>
      </c>
      <c r="AL85" s="41">
        <v>237106.15362693981</v>
      </c>
      <c r="AM85" s="41">
        <v>240775.29903569212</v>
      </c>
      <c r="AN85" s="41"/>
      <c r="AO85" s="42" t="s">
        <v>171</v>
      </c>
      <c r="AP85" s="41">
        <f t="shared" si="32"/>
        <v>214288.25868604815</v>
      </c>
      <c r="AR85" s="41"/>
    </row>
    <row r="86" spans="1:44" ht="15" thickBot="1" x14ac:dyDescent="0.35">
      <c r="A86" s="65"/>
      <c r="C86" s="67"/>
      <c r="D86" s="32" t="s">
        <v>172</v>
      </c>
      <c r="E86" s="33">
        <v>347639.02687100001</v>
      </c>
      <c r="F86" s="33">
        <v>87.421382530900004</v>
      </c>
      <c r="G86" s="33">
        <v>32006.9314098</v>
      </c>
      <c r="H86" s="33">
        <v>315544.67407800001</v>
      </c>
      <c r="I86" s="33">
        <v>0</v>
      </c>
      <c r="J86" s="34">
        <v>3036.34888873</v>
      </c>
      <c r="K86" s="35">
        <f t="shared" si="20"/>
        <v>312508.32518993912</v>
      </c>
      <c r="L86" s="36">
        <f t="shared" si="21"/>
        <v>7.7289541483363247E-3</v>
      </c>
      <c r="M86" s="37">
        <v>14065</v>
      </c>
      <c r="N86" s="38">
        <f t="shared" si="22"/>
        <v>2.4647357904871189E-3</v>
      </c>
      <c r="O86" s="38">
        <f t="shared" si="23"/>
        <v>24.138664885031211</v>
      </c>
      <c r="P86" s="38">
        <f t="shared" si="24"/>
        <v>8.4060617375732762E-3</v>
      </c>
      <c r="Q86" s="76">
        <v>3438.3666250599999</v>
      </c>
      <c r="R86" s="33">
        <v>382.75853349200003</v>
      </c>
      <c r="S86" s="39">
        <f t="shared" si="25"/>
        <v>4.2042035727422114E-3</v>
      </c>
      <c r="T86" s="40">
        <f t="shared" si="26"/>
        <v>157535.85716219776</v>
      </c>
      <c r="U86" s="28">
        <f t="shared" si="27"/>
        <v>148623.8682415685</v>
      </c>
      <c r="V86" s="28" t="e">
        <f>(#REF!*$C$13)+$B$34</f>
        <v>#REF!</v>
      </c>
      <c r="W86" s="28" t="e">
        <f t="shared" si="28"/>
        <v>#REF!</v>
      </c>
      <c r="X86" s="28" t="e">
        <f t="shared" si="29"/>
        <v>#REF!</v>
      </c>
      <c r="Y86" s="28" t="e">
        <f t="shared" si="30"/>
        <v>#REF!</v>
      </c>
      <c r="Z86" s="28" t="e">
        <f t="shared" si="31"/>
        <v>#REF!</v>
      </c>
      <c r="AA86" s="16" t="e">
        <f t="shared" si="19"/>
        <v>#REF!</v>
      </c>
      <c r="AE86" s="41" t="e" cm="1">
        <f t="array" ref="AE86">_xlfn.IFS($V86&gt;$W$3,($W$3+$Y$101),$V86&lt;$X$3,($V86+$X86+$Y$101), $V86&lt;$W$3,$V86+$Y$101,$V86&gt;$X$3,$V86+$Y$101)</f>
        <v>#REF!</v>
      </c>
      <c r="AF86" s="41">
        <v>207571.09835525506</v>
      </c>
      <c r="AG86" s="41">
        <v>210487.6608395114</v>
      </c>
      <c r="AH86" s="41">
        <v>209223.64745777342</v>
      </c>
      <c r="AI86" s="41">
        <v>198617.02186284596</v>
      </c>
      <c r="AJ86" s="41">
        <v>220840.40591942667</v>
      </c>
      <c r="AK86" s="41">
        <v>228708.41876109928</v>
      </c>
      <c r="AL86" s="41">
        <v>236576.43160277186</v>
      </c>
      <c r="AM86" s="41">
        <v>240510.43802360815</v>
      </c>
      <c r="AN86" s="41"/>
      <c r="AO86" s="32" t="s">
        <v>172</v>
      </c>
      <c r="AP86" s="41">
        <f t="shared" si="32"/>
        <v>207571.09835525506</v>
      </c>
      <c r="AR86" s="41"/>
    </row>
    <row r="87" spans="1:44" ht="15" thickBot="1" x14ac:dyDescent="0.35">
      <c r="A87" s="68"/>
      <c r="B87" s="69"/>
      <c r="D87" s="42" t="s">
        <v>173</v>
      </c>
      <c r="E87" s="43">
        <v>276914.92849600001</v>
      </c>
      <c r="F87" s="43">
        <v>392.23685656999999</v>
      </c>
      <c r="G87" s="43">
        <v>4592.8622704999998</v>
      </c>
      <c r="H87" s="43">
        <v>271929.82936799998</v>
      </c>
      <c r="I87" s="43">
        <v>0</v>
      </c>
      <c r="J87" s="44">
        <v>2262.0162552400002</v>
      </c>
      <c r="K87" s="35">
        <f t="shared" si="20"/>
        <v>269667.81311369</v>
      </c>
      <c r="L87" s="36">
        <f t="shared" si="21"/>
        <v>6.6694228436028217E-3</v>
      </c>
      <c r="M87" s="45">
        <v>18968</v>
      </c>
      <c r="N87" s="38">
        <f t="shared" si="22"/>
        <v>3.3239323479530513E-3</v>
      </c>
      <c r="O87" s="38">
        <f t="shared" si="23"/>
        <v>26.669027568751908</v>
      </c>
      <c r="P87" s="38">
        <f t="shared" si="24"/>
        <v>9.2872366094692727E-3</v>
      </c>
      <c r="Q87" s="76">
        <v>9145.5221307899992</v>
      </c>
      <c r="R87" s="43">
        <v>398.70209561899998</v>
      </c>
      <c r="S87" s="39">
        <f t="shared" si="25"/>
        <v>4.3793269860467809E-3</v>
      </c>
      <c r="T87" s="40">
        <f t="shared" si="26"/>
        <v>157268.32251294149</v>
      </c>
      <c r="U87" s="28">
        <f t="shared" si="27"/>
        <v>148323.36612066714</v>
      </c>
      <c r="V87" s="28" t="e">
        <f>(#REF!*$C$13)+$B$34</f>
        <v>#REF!</v>
      </c>
      <c r="W87" s="28" t="e">
        <f t="shared" si="28"/>
        <v>#REF!</v>
      </c>
      <c r="X87" s="28" t="e">
        <f t="shared" si="29"/>
        <v>#REF!</v>
      </c>
      <c r="Y87" s="28" t="e">
        <f t="shared" si="30"/>
        <v>#REF!</v>
      </c>
      <c r="Z87" s="28" t="e">
        <f t="shared" si="31"/>
        <v>#REF!</v>
      </c>
      <c r="AA87" s="16" t="e">
        <f t="shared" si="19"/>
        <v>#REF!</v>
      </c>
      <c r="AE87" s="41" t="e" cm="1">
        <f t="array" ref="AE87">_xlfn.IFS($V87&gt;$W$3,($W$3+$Y$101),$V87&lt;$X$3,($V87+$X87+$Y$101), $V87&lt;$W$3,$V87+$Y$101,$V87&gt;$X$3,$V87+$Y$101)</f>
        <v>#REF!</v>
      </c>
      <c r="AF87" s="41">
        <v>208684.02167689722</v>
      </c>
      <c r="AG87" s="41">
        <v>205942.86787869636</v>
      </c>
      <c r="AH87" s="41">
        <v>208538.96685421217</v>
      </c>
      <c r="AI87" s="41">
        <v>200062.82231658875</v>
      </c>
      <c r="AJ87" s="41">
        <v>214023.21647820412</v>
      </c>
      <c r="AK87" s="41">
        <v>224163.62580028424</v>
      </c>
      <c r="AL87" s="41">
        <v>234304.03512236435</v>
      </c>
      <c r="AM87" s="41">
        <v>239374.23978340439</v>
      </c>
      <c r="AN87" s="41"/>
      <c r="AO87" s="42" t="s">
        <v>173</v>
      </c>
      <c r="AP87" s="41">
        <f t="shared" si="32"/>
        <v>208684.02167689722</v>
      </c>
      <c r="AR87" s="41"/>
    </row>
    <row r="88" spans="1:44" x14ac:dyDescent="0.3">
      <c r="D88" s="32" t="s">
        <v>174</v>
      </c>
      <c r="E88" s="33">
        <v>270735.71262100001</v>
      </c>
      <c r="F88" s="33">
        <v>896.025368254</v>
      </c>
      <c r="G88" s="33">
        <v>9169.0735209800005</v>
      </c>
      <c r="H88" s="33">
        <v>260670.61373099999</v>
      </c>
      <c r="I88" s="33">
        <v>112.68969658499999</v>
      </c>
      <c r="J88" s="34">
        <v>18790.384651</v>
      </c>
      <c r="K88" s="35">
        <f t="shared" si="20"/>
        <v>241767.53938418103</v>
      </c>
      <c r="L88" s="36">
        <f t="shared" si="21"/>
        <v>5.9793934299853004E-3</v>
      </c>
      <c r="M88" s="37">
        <v>267568</v>
      </c>
      <c r="N88" s="38">
        <f t="shared" si="22"/>
        <v>4.6888334588628323E-2</v>
      </c>
      <c r="O88" s="38">
        <f t="shared" si="23"/>
        <v>64.43839640251278</v>
      </c>
      <c r="P88" s="38">
        <f t="shared" si="24"/>
        <v>2.2440062075083641E-2</v>
      </c>
      <c r="Q88" s="76">
        <v>20724.973483599999</v>
      </c>
      <c r="R88" s="33">
        <v>869.02903934599999</v>
      </c>
      <c r="S88" s="39">
        <f t="shared" si="25"/>
        <v>9.545378279885032E-3</v>
      </c>
      <c r="T88" s="40">
        <f t="shared" si="26"/>
        <v>175962.51659093675</v>
      </c>
      <c r="U88" s="28">
        <f t="shared" si="27"/>
        <v>212634.92536125379</v>
      </c>
      <c r="V88" s="28" t="e">
        <f>(#REF!*$C$13)+$B$34</f>
        <v>#REF!</v>
      </c>
      <c r="W88" s="28" t="e">
        <f t="shared" si="28"/>
        <v>#REF!</v>
      </c>
      <c r="X88" s="28" t="e">
        <f t="shared" si="29"/>
        <v>#REF!</v>
      </c>
      <c r="Y88" s="28" t="e">
        <f t="shared" si="30"/>
        <v>#REF!</v>
      </c>
      <c r="Z88" s="28" t="e">
        <f t="shared" si="31"/>
        <v>#REF!</v>
      </c>
      <c r="AA88" s="16" t="e">
        <f t="shared" si="19"/>
        <v>#REF!</v>
      </c>
      <c r="AE88" s="41" t="e" cm="1">
        <f t="array" ref="AE88">_xlfn.IFS($V88&gt;$W$3,($W$3+$Y$101),$V88&lt;$X$3,($V88+$X88+$Y$101), $V88&lt;$W$3,$V88+$Y$101,$V88&gt;$X$3,$V88+$Y$101)</f>
        <v>#REF!</v>
      </c>
      <c r="AF88" s="41">
        <v>259826.06978021481</v>
      </c>
      <c r="AG88" s="41">
        <v>273830.41710487817</v>
      </c>
      <c r="AH88" s="41">
        <v>289696.31753502623</v>
      </c>
      <c r="AI88" s="41">
        <v>394828.31120535638</v>
      </c>
      <c r="AJ88" s="41">
        <v>212591.4956542532</v>
      </c>
      <c r="AK88" s="41">
        <v>223209.14525098362</v>
      </c>
      <c r="AL88" s="41">
        <v>233826.79484771405</v>
      </c>
      <c r="AM88" s="41">
        <v>239135.61964607923</v>
      </c>
      <c r="AN88" s="41"/>
      <c r="AO88" s="32" t="s">
        <v>174</v>
      </c>
      <c r="AP88" s="41">
        <f t="shared" si="32"/>
        <v>259826.06978021481</v>
      </c>
      <c r="AR88" s="41"/>
    </row>
    <row r="89" spans="1:44" x14ac:dyDescent="0.3">
      <c r="D89" s="42" t="s">
        <v>175</v>
      </c>
      <c r="E89" s="43">
        <v>281331.853145</v>
      </c>
      <c r="F89" s="43">
        <v>65.852578719999997</v>
      </c>
      <c r="G89" s="43">
        <v>2006.0333787100001</v>
      </c>
      <c r="H89" s="43">
        <v>279259.96718699997</v>
      </c>
      <c r="I89" s="43">
        <v>0</v>
      </c>
      <c r="J89" s="44">
        <v>1553.9123360999999</v>
      </c>
      <c r="K89" s="35">
        <f t="shared" si="20"/>
        <v>277706.05485146999</v>
      </c>
      <c r="L89" s="36">
        <f t="shared" si="21"/>
        <v>6.8682245932419218E-3</v>
      </c>
      <c r="M89" s="45">
        <v>11253</v>
      </c>
      <c r="N89" s="38">
        <f t="shared" si="22"/>
        <v>1.9719638713367612E-3</v>
      </c>
      <c r="O89" s="38">
        <f t="shared" si="23"/>
        <v>22.409015291211816</v>
      </c>
      <c r="P89" s="38">
        <f t="shared" si="24"/>
        <v>7.8037276259202903E-3</v>
      </c>
      <c r="Q89" s="76">
        <v>2958.75444569</v>
      </c>
      <c r="R89" s="43">
        <v>427.16081938899998</v>
      </c>
      <c r="S89" s="39">
        <f t="shared" si="25"/>
        <v>4.6919164064783926E-3</v>
      </c>
      <c r="T89" s="40">
        <f t="shared" si="26"/>
        <v>155341.26166207666</v>
      </c>
      <c r="U89" s="28">
        <f t="shared" si="27"/>
        <v>146593.61603020137</v>
      </c>
      <c r="V89" s="28" t="e">
        <f>(#REF!*$C$13)+$B$34</f>
        <v>#REF!</v>
      </c>
      <c r="W89" s="28" t="e">
        <f t="shared" si="28"/>
        <v>#REF!</v>
      </c>
      <c r="X89" s="28" t="e">
        <f t="shared" si="29"/>
        <v>#REF!</v>
      </c>
      <c r="Y89" s="28" t="e">
        <f t="shared" si="30"/>
        <v>#REF!</v>
      </c>
      <c r="Z89" s="28" t="e">
        <f t="shared" si="31"/>
        <v>#REF!</v>
      </c>
      <c r="AA89" s="16" t="e">
        <f t="shared" si="19"/>
        <v>#REF!</v>
      </c>
      <c r="AE89" s="41" t="e" cm="1">
        <f t="array" ref="AE89">_xlfn.IFS($V89&gt;$W$3,($W$3+$Y$101),$V89&lt;$X$3,($V89+$X89+$Y$101), $V89&lt;$W$3,$V89+$Y$101,$V89&gt;$X$3,$V89+$Y$101)</f>
        <v>#REF!</v>
      </c>
      <c r="AF89" s="41">
        <v>203879.05300871155</v>
      </c>
      <c r="AG89" s="41">
        <v>203391.7076662968</v>
      </c>
      <c r="AH89" s="41">
        <v>205531.60211122991</v>
      </c>
      <c r="AI89" s="41">
        <v>194425.82915563576</v>
      </c>
      <c r="AJ89" s="41">
        <v>215302.33789961142</v>
      </c>
      <c r="AK89" s="41">
        <v>225016.37341455577</v>
      </c>
      <c r="AL89" s="41">
        <v>234730.40892950012</v>
      </c>
      <c r="AM89" s="41">
        <v>239587.42668697226</v>
      </c>
      <c r="AN89" s="41"/>
      <c r="AO89" s="42" t="s">
        <v>175</v>
      </c>
      <c r="AP89" s="41">
        <f t="shared" si="32"/>
        <v>203879.05300871155</v>
      </c>
      <c r="AR89" s="41"/>
    </row>
    <row r="90" spans="1:44" x14ac:dyDescent="0.3">
      <c r="D90" s="32" t="s">
        <v>176</v>
      </c>
      <c r="E90" s="33">
        <v>481207.16330499999</v>
      </c>
      <c r="F90" s="33">
        <v>2534.75751412</v>
      </c>
      <c r="G90" s="33">
        <v>7864.1438537200002</v>
      </c>
      <c r="H90" s="33">
        <v>470808.26193699997</v>
      </c>
      <c r="I90" s="33">
        <v>0</v>
      </c>
      <c r="J90" s="34">
        <v>780.63565434500003</v>
      </c>
      <c r="K90" s="35">
        <f t="shared" si="20"/>
        <v>470027.62628281501</v>
      </c>
      <c r="L90" s="36">
        <f t="shared" si="21"/>
        <v>1.1624720620749061E-2</v>
      </c>
      <c r="M90" s="37">
        <v>6506</v>
      </c>
      <c r="N90" s="38">
        <f t="shared" si="22"/>
        <v>1.140104589613167E-3</v>
      </c>
      <c r="O90" s="38">
        <f t="shared" si="23"/>
        <v>18.668296342979222</v>
      </c>
      <c r="P90" s="38">
        <f t="shared" si="24"/>
        <v>6.5010576327156231E-3</v>
      </c>
      <c r="Q90" s="76">
        <v>718.92341342300006</v>
      </c>
      <c r="R90" s="33">
        <v>256.77694216399999</v>
      </c>
      <c r="S90" s="39">
        <f t="shared" si="25"/>
        <v>2.8204270922316936E-3</v>
      </c>
      <c r="T90" s="40">
        <f t="shared" si="26"/>
        <v>160522.00071353037</v>
      </c>
      <c r="U90" s="28">
        <f t="shared" si="27"/>
        <v>152480.57114887668</v>
      </c>
      <c r="V90" s="28" t="e">
        <f>(#REF!*$C$13)+$B$34</f>
        <v>#REF!</v>
      </c>
      <c r="W90" s="28" t="e">
        <f t="shared" si="28"/>
        <v>#REF!</v>
      </c>
      <c r="X90" s="28" t="e">
        <f t="shared" si="29"/>
        <v>#REF!</v>
      </c>
      <c r="Y90" s="28" t="e">
        <f t="shared" si="30"/>
        <v>#REF!</v>
      </c>
      <c r="Z90" s="28" t="e">
        <f t="shared" si="31"/>
        <v>#REF!</v>
      </c>
      <c r="AA90" s="16" t="e">
        <f t="shared" si="19"/>
        <v>#REF!</v>
      </c>
      <c r="AE90" s="41" t="e" cm="1">
        <f t="array" ref="AE90">_xlfn.IFS($V90&gt;$W$3,($W$3+$Y$101),$V90&lt;$X$3,($V90+$X90+$Y$101), $V90&lt;$W$3,$V90+$Y$101,$V90&gt;$X$3,$V90+$Y$101)</f>
        <v>#REF!</v>
      </c>
      <c r="AF90" s="41">
        <v>224281.74386586974</v>
      </c>
      <c r="AG90" s="41">
        <v>223794.39852345499</v>
      </c>
      <c r="AH90" s="41">
        <v>223473.52621588728</v>
      </c>
      <c r="AI90" s="41">
        <v>200972.96486663815</v>
      </c>
      <c r="AJ90" s="41">
        <v>245906.37418534869</v>
      </c>
      <c r="AK90" s="41">
        <v>245419.06427171396</v>
      </c>
      <c r="AL90" s="41">
        <v>244931.7543580792</v>
      </c>
      <c r="AM90" s="41">
        <v>244688.09940126183</v>
      </c>
      <c r="AN90" s="41"/>
      <c r="AO90" s="32" t="s">
        <v>176</v>
      </c>
      <c r="AP90" s="41">
        <f t="shared" si="32"/>
        <v>224281.74386586974</v>
      </c>
      <c r="AR90" s="41"/>
    </row>
    <row r="91" spans="1:44" x14ac:dyDescent="0.3">
      <c r="D91" s="42" t="s">
        <v>177</v>
      </c>
      <c r="E91" s="43">
        <v>410309.38581000001</v>
      </c>
      <c r="F91" s="43">
        <v>5195.1322027699998</v>
      </c>
      <c r="G91" s="43">
        <v>35535.829421000002</v>
      </c>
      <c r="H91" s="43">
        <v>369578.42418600002</v>
      </c>
      <c r="I91" s="43">
        <v>0</v>
      </c>
      <c r="J91" s="44">
        <v>5252.2724292700004</v>
      </c>
      <c r="K91" s="35">
        <f t="shared" si="20"/>
        <v>364326.15175696008</v>
      </c>
      <c r="L91" s="36">
        <f t="shared" si="21"/>
        <v>9.0105123447764696E-3</v>
      </c>
      <c r="M91" s="45">
        <v>49671</v>
      </c>
      <c r="N91" s="38">
        <f t="shared" si="22"/>
        <v>8.7042937397288078E-3</v>
      </c>
      <c r="O91" s="38">
        <f t="shared" si="23"/>
        <v>36.759334016698077</v>
      </c>
      <c r="P91" s="38">
        <f t="shared" si="24"/>
        <v>1.2801090393696889E-2</v>
      </c>
      <c r="Q91" s="76">
        <v>11378.3140293</v>
      </c>
      <c r="R91" s="43">
        <v>707.77312268900005</v>
      </c>
      <c r="S91" s="39">
        <f t="shared" si="25"/>
        <v>7.7741500991569618E-3</v>
      </c>
      <c r="T91" s="40">
        <f t="shared" si="26"/>
        <v>166050.73744104337</v>
      </c>
      <c r="U91" s="28">
        <f t="shared" si="27"/>
        <v>159905.54246009127</v>
      </c>
      <c r="V91" s="28" t="e">
        <f>(#REF!*$C$13)+$B$34</f>
        <v>#REF!</v>
      </c>
      <c r="W91" s="28" t="e">
        <f t="shared" si="28"/>
        <v>#REF!</v>
      </c>
      <c r="X91" s="28" t="e">
        <f t="shared" si="29"/>
        <v>#REF!</v>
      </c>
      <c r="Y91" s="28" t="e">
        <f t="shared" si="30"/>
        <v>#REF!</v>
      </c>
      <c r="Z91" s="28" t="e">
        <f t="shared" si="31"/>
        <v>#REF!</v>
      </c>
      <c r="AA91" s="16" t="e">
        <f t="shared" si="19"/>
        <v>#REF!</v>
      </c>
      <c r="AE91" s="41" t="e" cm="1">
        <f t="array" ref="AE91">_xlfn.IFS($V91&gt;$W$3,($W$3+$Y$101),$V91&lt;$X$3,($V91+$X91+$Y$101), $V91&lt;$W$3,$V91+$Y$101,$V91&gt;$X$3,$V91+$Y$101)</f>
        <v>#REF!</v>
      </c>
      <c r="AF91" s="41">
        <v>270822.5066530694</v>
      </c>
      <c r="AG91" s="41">
        <v>284826.85397773277</v>
      </c>
      <c r="AH91" s="41">
        <v>224773.37814502011</v>
      </c>
      <c r="AI91" s="41">
        <v>228697.39618498468</v>
      </c>
      <c r="AJ91" s="41">
        <v>229086.15096353507</v>
      </c>
      <c r="AK91" s="41">
        <v>234205.58212383819</v>
      </c>
      <c r="AL91" s="41">
        <v>239325.01328414131</v>
      </c>
      <c r="AM91" s="41">
        <v>241884.72886429288</v>
      </c>
      <c r="AN91" s="41"/>
      <c r="AO91" s="42" t="s">
        <v>177</v>
      </c>
      <c r="AP91" s="41">
        <f t="shared" si="32"/>
        <v>270822.5066530694</v>
      </c>
      <c r="AR91" s="41"/>
    </row>
    <row r="92" spans="1:44" x14ac:dyDescent="0.3">
      <c r="D92" s="32" t="s">
        <v>178</v>
      </c>
      <c r="E92" s="33">
        <v>457019.84088899998</v>
      </c>
      <c r="F92" s="33">
        <v>3284.5221374900002</v>
      </c>
      <c r="G92" s="33">
        <v>10756.9899418</v>
      </c>
      <c r="H92" s="33">
        <v>442978.32880999998</v>
      </c>
      <c r="I92" s="33">
        <v>0</v>
      </c>
      <c r="J92" s="34">
        <v>10012.8832755</v>
      </c>
      <c r="K92" s="35">
        <f t="shared" si="20"/>
        <v>432965.44553421001</v>
      </c>
      <c r="L92" s="36">
        <f t="shared" si="21"/>
        <v>1.0708098974048228E-2</v>
      </c>
      <c r="M92" s="37">
        <v>141337</v>
      </c>
      <c r="N92" s="38">
        <f t="shared" si="22"/>
        <v>2.4767747061505717E-2</v>
      </c>
      <c r="O92" s="38">
        <f t="shared" si="23"/>
        <v>52.089712000992222</v>
      </c>
      <c r="P92" s="38">
        <f t="shared" si="24"/>
        <v>1.8139749528743913E-2</v>
      </c>
      <c r="Q92" s="76">
        <v>40805.490104800003</v>
      </c>
      <c r="R92" s="33">
        <v>1228.9039012200001</v>
      </c>
      <c r="S92" s="39">
        <f t="shared" si="25"/>
        <v>1.3498228569668065E-2</v>
      </c>
      <c r="T92" s="40">
        <f t="shared" si="26"/>
        <v>176605.10608752156</v>
      </c>
      <c r="U92" s="28">
        <f t="shared" si="27"/>
        <v>186547.10238666425</v>
      </c>
      <c r="V92" s="28" t="e">
        <f>(#REF!*$C$13)+$B$34</f>
        <v>#REF!</v>
      </c>
      <c r="W92" s="28" t="e">
        <f t="shared" si="28"/>
        <v>#REF!</v>
      </c>
      <c r="X92" s="28" t="e">
        <f t="shared" si="29"/>
        <v>#REF!</v>
      </c>
      <c r="Y92" s="28" t="e">
        <f t="shared" si="30"/>
        <v>#REF!</v>
      </c>
      <c r="Z92" s="28" t="e">
        <f t="shared" si="31"/>
        <v>#REF!</v>
      </c>
      <c r="AA92" s="16" t="e">
        <f t="shared" si="19"/>
        <v>#REF!</v>
      </c>
      <c r="AE92" s="41" t="e" cm="1">
        <f t="array" ref="AE92">_xlfn.IFS($V92&gt;$W$3,($W$3+$Y$101),$V92&lt;$X$3,($V92+$X92+$Y$101), $V92&lt;$W$3,$V92+$Y$101,$V92&gt;$X$3,$V92+$Y$101)</f>
        <v>#REF!</v>
      </c>
      <c r="AF92" s="41">
        <v>278104.1978391817</v>
      </c>
      <c r="AG92" s="41">
        <v>292108.54516384506</v>
      </c>
      <c r="AH92" s="41">
        <v>307974.44559399318</v>
      </c>
      <c r="AI92" s="41">
        <v>305742.37221244257</v>
      </c>
      <c r="AJ92" s="41">
        <v>240008.68774270351</v>
      </c>
      <c r="AK92" s="41">
        <v>241487.27330995048</v>
      </c>
      <c r="AL92" s="41">
        <v>242965.85887719746</v>
      </c>
      <c r="AM92" s="41">
        <v>243705.15166082096</v>
      </c>
      <c r="AN92" s="41"/>
      <c r="AO92" s="32" t="s">
        <v>178</v>
      </c>
      <c r="AP92" s="41">
        <f t="shared" si="32"/>
        <v>278104.1978391817</v>
      </c>
      <c r="AR92" s="41"/>
    </row>
    <row r="93" spans="1:44" ht="15" thickBot="1" x14ac:dyDescent="0.35">
      <c r="D93" s="42" t="s">
        <v>179</v>
      </c>
      <c r="E93" s="43">
        <v>488761.07131600002</v>
      </c>
      <c r="F93" s="43">
        <v>1096.9403973799999</v>
      </c>
      <c r="G93" s="43">
        <v>8929.87307822</v>
      </c>
      <c r="H93" s="43">
        <v>478734.25783999998</v>
      </c>
      <c r="I93" s="43">
        <v>1506.6444066500001</v>
      </c>
      <c r="J93" s="44">
        <v>1652.8139741</v>
      </c>
      <c r="K93" s="35">
        <f t="shared" si="20"/>
        <v>475574.79945965006</v>
      </c>
      <c r="L93" s="36">
        <f t="shared" si="21"/>
        <v>1.1761913276690567E-2</v>
      </c>
      <c r="M93" s="70">
        <v>9528</v>
      </c>
      <c r="N93" s="38">
        <f t="shared" si="22"/>
        <v>1.6696766876474417E-3</v>
      </c>
      <c r="O93" s="38">
        <f t="shared" si="23"/>
        <v>21.199905066621284</v>
      </c>
      <c r="P93" s="38">
        <f t="shared" si="24"/>
        <v>7.3826664262289241E-3</v>
      </c>
      <c r="Q93" s="76">
        <v>3771.1458100700002</v>
      </c>
      <c r="R93" s="43">
        <v>835.25147671800005</v>
      </c>
      <c r="S93" s="39">
        <f t="shared" si="25"/>
        <v>9.1743669579855847E-3</v>
      </c>
      <c r="T93" s="40">
        <f t="shared" si="26"/>
        <v>162050.20288771257</v>
      </c>
      <c r="U93" s="28">
        <f t="shared" si="27"/>
        <v>153480.71827984037</v>
      </c>
      <c r="V93" s="28" t="e">
        <f>(#REF!*$C$13)+$B$34</f>
        <v>#REF!</v>
      </c>
      <c r="W93" s="28" t="e">
        <f t="shared" si="28"/>
        <v>#REF!</v>
      </c>
      <c r="X93" s="28" t="e">
        <f t="shared" si="29"/>
        <v>#REF!</v>
      </c>
      <c r="Y93" s="28" t="e">
        <f t="shared" si="30"/>
        <v>#REF!</v>
      </c>
      <c r="Z93" s="28" t="e">
        <f t="shared" si="31"/>
        <v>#REF!</v>
      </c>
      <c r="AA93" s="16" t="e">
        <f t="shared" si="19"/>
        <v>#REF!</v>
      </c>
      <c r="AE93" s="41" t="e" cm="1">
        <f t="array" ref="AE93">_xlfn.IFS($V93&gt;$W$3,($W$3+$Y$101),$V93&lt;$X$3,($V93+$X93+$Y$101), $V93&lt;$W$3,$V93+$Y$101,$V93&gt;$X$3,$V93+$Y$101)</f>
        <v>#REF!</v>
      </c>
      <c r="AF93" s="41">
        <v>225030.05752848976</v>
      </c>
      <c r="AG93" s="41">
        <v>224542.71218607502</v>
      </c>
      <c r="AH93" s="41">
        <v>224221.83987850731</v>
      </c>
      <c r="AI93" s="41">
        <v>203672.24754356238</v>
      </c>
      <c r="AJ93" s="41">
        <v>247028.84467927873</v>
      </c>
      <c r="AK93" s="41">
        <v>246167.37793433398</v>
      </c>
      <c r="AL93" s="41">
        <v>245305.91118938921</v>
      </c>
      <c r="AM93" s="41">
        <v>244875.17781691684</v>
      </c>
      <c r="AN93" s="41"/>
      <c r="AO93" s="42" t="s">
        <v>179</v>
      </c>
      <c r="AP93" s="41">
        <f t="shared" si="32"/>
        <v>225030.05752848976</v>
      </c>
      <c r="AR93" s="41"/>
    </row>
    <row r="94" spans="1:44" ht="15.6" thickTop="1" thickBot="1" x14ac:dyDescent="0.35">
      <c r="D94" s="71"/>
      <c r="E94" s="72">
        <f>SUM(E4:E93)</f>
        <v>53993504.441008039</v>
      </c>
      <c r="F94" s="72">
        <f t="shared" ref="F94:AA94" si="33">SUM(F4:F93)</f>
        <v>3582911.1549755386</v>
      </c>
      <c r="G94" s="72">
        <f t="shared" si="33"/>
        <v>8483445.9791199714</v>
      </c>
      <c r="H94" s="72">
        <f t="shared" si="33"/>
        <v>41927147.306895003</v>
      </c>
      <c r="I94" s="72">
        <f t="shared" si="33"/>
        <v>892913.38066131831</v>
      </c>
      <c r="J94" s="72">
        <f>SUM(J4:J93)</f>
        <v>600778.22290646413</v>
      </c>
      <c r="K94" s="72">
        <f>SUM(K4:K93)</f>
        <v>40433455.70334471</v>
      </c>
      <c r="L94" s="72">
        <f>SUM(L4:L93)</f>
        <v>0.99999999999999978</v>
      </c>
      <c r="M94" s="72">
        <f t="shared" si="33"/>
        <v>5706494</v>
      </c>
      <c r="N94" s="72">
        <f t="shared" si="33"/>
        <v>1</v>
      </c>
      <c r="O94" s="72">
        <f>SUM(O4:O93)</f>
        <v>2871.5783488879943</v>
      </c>
      <c r="P94" s="72">
        <f>SUM(P4:P93)</f>
        <v>1</v>
      </c>
      <c r="Q94" s="72"/>
      <c r="R94" s="72">
        <f t="shared" si="33"/>
        <v>91041.864854879997</v>
      </c>
      <c r="S94" s="72">
        <f>SUM(S4:S93)</f>
        <v>1.0000000000000002</v>
      </c>
      <c r="T94" s="28">
        <f>SUM(T4:T93)</f>
        <v>15000000.000000002</v>
      </c>
      <c r="U94" s="28">
        <f t="shared" si="33"/>
        <v>15000000</v>
      </c>
      <c r="V94" s="28" t="e">
        <f t="shared" si="33"/>
        <v>#REF!</v>
      </c>
      <c r="W94" s="16" t="e">
        <f t="shared" si="33"/>
        <v>#REF!</v>
      </c>
      <c r="X94" s="28" t="e">
        <f t="shared" si="33"/>
        <v>#REF!</v>
      </c>
      <c r="Y94" s="28" t="e">
        <f t="shared" si="33"/>
        <v>#REF!</v>
      </c>
      <c r="Z94" s="28" t="e">
        <f t="shared" si="33"/>
        <v>#REF!</v>
      </c>
      <c r="AA94" s="16" t="e">
        <f t="shared" si="33"/>
        <v>#REF!</v>
      </c>
      <c r="AE94" s="21" t="e">
        <f t="shared" ref="AE94:AM94" si="34">SUM(AE4:AE93)</f>
        <v>#REF!</v>
      </c>
      <c r="AF94" s="41">
        <f t="shared" si="34"/>
        <v>22000000</v>
      </c>
      <c r="AG94" s="21">
        <f t="shared" si="34"/>
        <v>22000000.000000004</v>
      </c>
      <c r="AH94" s="21">
        <f t="shared" si="34"/>
        <v>22000000.000000007</v>
      </c>
      <c r="AI94" s="21">
        <f t="shared" si="34"/>
        <v>22000000.000000004</v>
      </c>
      <c r="AJ94" s="21">
        <f t="shared" si="34"/>
        <v>21999999.999999993</v>
      </c>
      <c r="AK94" s="41">
        <f t="shared" si="34"/>
        <v>22000000.000000007</v>
      </c>
      <c r="AL94" s="41">
        <f t="shared" si="34"/>
        <v>22000000.000000011</v>
      </c>
      <c r="AM94" s="41">
        <f t="shared" si="34"/>
        <v>21999999.999999989</v>
      </c>
      <c r="AN94" s="41"/>
      <c r="AP94" s="21">
        <f>SUM(AP4:AP93)</f>
        <v>22000000</v>
      </c>
      <c r="AR94" s="21"/>
    </row>
    <row r="95" spans="1:44" x14ac:dyDescent="0.3">
      <c r="D95" s="73" t="s">
        <v>180</v>
      </c>
    </row>
    <row r="96" spans="1:44" x14ac:dyDescent="0.3">
      <c r="D96" s="73">
        <f>COUNTA(D4:D93)</f>
        <v>90</v>
      </c>
      <c r="AR96" s="41"/>
    </row>
    <row r="97" spans="23:31" x14ac:dyDescent="0.3">
      <c r="W97" t="s">
        <v>181</v>
      </c>
      <c r="Y97" s="41" t="e">
        <f>V94-Y94</f>
        <v>#REF!</v>
      </c>
    </row>
    <row r="98" spans="23:31" x14ac:dyDescent="0.3">
      <c r="AE98" s="21" t="e">
        <f>22000000-AE94</f>
        <v>#REF!</v>
      </c>
    </row>
    <row r="99" spans="23:31" x14ac:dyDescent="0.3">
      <c r="W99" t="s">
        <v>182</v>
      </c>
      <c r="Y99" s="41" t="e">
        <f>Y97-Y103</f>
        <v>#REF!</v>
      </c>
    </row>
    <row r="100" spans="23:31" x14ac:dyDescent="0.3">
      <c r="AE100" s="21" t="e">
        <f>Y101+Y103</f>
        <v>#REF!</v>
      </c>
    </row>
    <row r="101" spans="23:31" x14ac:dyDescent="0.3">
      <c r="W101" t="s">
        <v>183</v>
      </c>
      <c r="Y101" s="41" t="e">
        <f>Y99/$D$96</f>
        <v>#REF!</v>
      </c>
    </row>
    <row r="103" spans="23:31" x14ac:dyDescent="0.3">
      <c r="W103" t="s">
        <v>184</v>
      </c>
      <c r="Y103" s="41" t="e">
        <f>SUM(X4:X93)</f>
        <v>#REF!</v>
      </c>
    </row>
    <row r="106" spans="23:31" x14ac:dyDescent="0.3">
      <c r="Y106" s="41" t="e">
        <f>(Y97+Y103)-Y97</f>
        <v>#REF!</v>
      </c>
    </row>
  </sheetData>
  <conditionalFormatting sqref="A14">
    <cfRule type="cellIs" dxfId="41" priority="20" operator="lessThan">
      <formula>1</formula>
    </cfRule>
    <cfRule type="cellIs" dxfId="40" priority="21" operator="greaterThan">
      <formula>1</formula>
    </cfRule>
  </conditionalFormatting>
  <conditionalFormatting sqref="B45">
    <cfRule type="cellIs" dxfId="39" priority="18" operator="lessThan">
      <formula>1</formula>
    </cfRule>
    <cfRule type="cellIs" dxfId="38" priority="19" operator="greaterThan">
      <formula>1</formula>
    </cfRule>
  </conditionalFormatting>
  <conditionalFormatting sqref="U4:U93">
    <cfRule type="expression" dxfId="37" priority="15">
      <formula>$U$3="Inactive Column"</formula>
    </cfRule>
  </conditionalFormatting>
  <conditionalFormatting sqref="V4:V93">
    <cfRule type="expression" dxfId="36" priority="16">
      <formula>$V$3="Inactive Column"</formula>
    </cfRule>
  </conditionalFormatting>
  <conditionalFormatting sqref="Z4:Z93">
    <cfRule type="top10" dxfId="35" priority="3" bottom="1" rank="1"/>
    <cfRule type="top10" dxfId="34" priority="4" rank="1"/>
  </conditionalFormatting>
  <conditionalFormatting sqref="AA4:AA93">
    <cfRule type="expression" dxfId="33" priority="17">
      <formula>$V$2="Active Column"</formula>
    </cfRule>
  </conditionalFormatting>
  <conditionalFormatting sqref="AI4:AI93">
    <cfRule type="top10" dxfId="32" priority="5" bottom="1" rank="1"/>
    <cfRule type="top10" dxfId="31" priority="6" rank="1"/>
  </conditionalFormatting>
  <conditionalFormatting sqref="AJ4:AJ93">
    <cfRule type="top10" dxfId="30" priority="13" bottom="1" rank="1"/>
    <cfRule type="top10" dxfId="29" priority="14" rank="1"/>
  </conditionalFormatting>
  <conditionalFormatting sqref="AK4:AK93">
    <cfRule type="top10" dxfId="28" priority="11" bottom="1" rank="1"/>
    <cfRule type="top10" dxfId="27" priority="12" rank="1"/>
  </conditionalFormatting>
  <conditionalFormatting sqref="AL4:AL93">
    <cfRule type="top10" dxfId="26" priority="9" bottom="1" rank="1"/>
    <cfRule type="top10" dxfId="25" priority="10" rank="1"/>
  </conditionalFormatting>
  <conditionalFormatting sqref="AM4:AN93">
    <cfRule type="top10" dxfId="24" priority="7" bottom="1" rank="1"/>
    <cfRule type="top10" dxfId="23" priority="8" rank="1"/>
  </conditionalFormatting>
  <conditionalFormatting sqref="AP4:AP93">
    <cfRule type="top10" dxfId="22" priority="1" bottom="1" rank="1"/>
    <cfRule type="top10" dxfId="21" priority="2" rank="1"/>
  </conditionalFormatting>
  <pageMargins left="0.7" right="0.7" top="0.75" bottom="0.75" header="0.3" footer="0.3"/>
  <pageSetup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42</xdr:col>
                    <xdr:colOff>0</xdr:colOff>
                    <xdr:row>1</xdr:row>
                    <xdr:rowOff>22860</xdr:rowOff>
                  </from>
                  <to>
                    <xdr:col>48</xdr:col>
                    <xdr:colOff>419100</xdr:colOff>
                    <xdr:row>1</xdr:row>
                    <xdr:rowOff>289560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83C8C-EA16-450D-B7A7-0653CEA02B6F}">
  <sheetPr>
    <tabColor rgb="FF00B050"/>
  </sheetPr>
  <dimension ref="A1:AT106"/>
  <sheetViews>
    <sheetView topLeftCell="D66" zoomScale="80" zoomScaleNormal="80" workbookViewId="0">
      <selection activeCell="O94" sqref="O94"/>
    </sheetView>
  </sheetViews>
  <sheetFormatPr defaultRowHeight="14.4" x14ac:dyDescent="0.3"/>
  <cols>
    <col min="1" max="1" width="27.44140625" customWidth="1"/>
    <col min="2" max="2" width="28.109375" bestFit="1" customWidth="1"/>
    <col min="3" max="3" width="19.88671875" customWidth="1"/>
    <col min="4" max="4" width="19.5546875" style="73" customWidth="1"/>
    <col min="5" max="19" width="17.33203125" style="74" customWidth="1"/>
    <col min="20" max="20" width="18.109375" style="114" customWidth="1"/>
    <col min="21" max="21" width="18.109375" style="41" hidden="1" customWidth="1"/>
    <col min="22" max="22" width="17.109375" style="41" hidden="1" customWidth="1"/>
    <col min="23" max="23" width="14.109375" hidden="1" customWidth="1"/>
    <col min="24" max="24" width="11.5546875" style="21" hidden="1" customWidth="1"/>
    <col min="25" max="25" width="16.88671875" style="41" hidden="1" customWidth="1"/>
    <col min="26" max="26" width="15.88671875" style="41" hidden="1" customWidth="1"/>
    <col min="27" max="27" width="17.44140625" hidden="1" customWidth="1"/>
    <col min="28" max="28" width="23.6640625" customWidth="1"/>
    <col min="29" max="30" width="9.109375" customWidth="1"/>
    <col min="31" max="31" width="21.44140625" hidden="1" customWidth="1"/>
    <col min="32" max="34" width="17.88671875" hidden="1" customWidth="1"/>
    <col min="35" max="35" width="12.5546875" hidden="1" customWidth="1"/>
    <col min="36" max="36" width="13.33203125" hidden="1" customWidth="1"/>
    <col min="37" max="37" width="12.5546875" hidden="1" customWidth="1"/>
    <col min="38" max="38" width="13" hidden="1" customWidth="1"/>
    <col min="39" max="40" width="12.5546875" hidden="1" customWidth="1"/>
    <col min="41" max="41" width="17.5546875" hidden="1" customWidth="1"/>
    <col min="42" max="42" width="15.6640625" hidden="1" customWidth="1"/>
    <col min="43" max="43" width="15.109375" hidden="1" customWidth="1"/>
    <col min="44" max="44" width="12.33203125" hidden="1" customWidth="1"/>
    <col min="45" max="45" width="12" hidden="1" customWidth="1"/>
    <col min="46" max="46" width="11.33203125" hidden="1" customWidth="1"/>
    <col min="47" max="47" width="0" hidden="1" customWidth="1"/>
  </cols>
  <sheetData>
    <row r="1" spans="1:46" ht="115.8" thickBot="1" x14ac:dyDescent="0.35">
      <c r="D1" s="1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190</v>
      </c>
      <c r="J1" s="2" t="s">
        <v>5</v>
      </c>
      <c r="K1" s="77" t="s">
        <v>186</v>
      </c>
      <c r="L1" s="2" t="s">
        <v>187</v>
      </c>
      <c r="M1" s="2" t="s">
        <v>6</v>
      </c>
      <c r="N1" s="2" t="s">
        <v>7</v>
      </c>
      <c r="O1" s="2" t="s">
        <v>8</v>
      </c>
      <c r="P1" s="2" t="s">
        <v>9</v>
      </c>
      <c r="Q1" s="75" t="s">
        <v>185</v>
      </c>
      <c r="R1" s="2" t="s">
        <v>10</v>
      </c>
      <c r="S1" s="2" t="s">
        <v>11</v>
      </c>
      <c r="T1" s="110" t="s">
        <v>13</v>
      </c>
      <c r="U1" s="3" t="s">
        <v>14</v>
      </c>
      <c r="V1" s="3" t="s">
        <v>15</v>
      </c>
      <c r="W1" s="4" t="s">
        <v>16</v>
      </c>
      <c r="X1" s="3" t="s">
        <v>17</v>
      </c>
      <c r="Y1" s="5" t="s">
        <v>18</v>
      </c>
      <c r="Z1" s="6" t="s">
        <v>19</v>
      </c>
      <c r="AA1" s="7" t="s">
        <v>20</v>
      </c>
      <c r="AE1" s="8" t="s">
        <v>21</v>
      </c>
      <c r="AF1" s="8" t="s">
        <v>12</v>
      </c>
      <c r="AG1" s="8" t="s">
        <v>12</v>
      </c>
      <c r="AH1" s="8" t="s">
        <v>12</v>
      </c>
      <c r="AI1" s="8" t="s">
        <v>14</v>
      </c>
      <c r="AJ1" s="8" t="s">
        <v>22</v>
      </c>
      <c r="AK1" s="8" t="s">
        <v>22</v>
      </c>
      <c r="AL1" s="8" t="s">
        <v>22</v>
      </c>
      <c r="AM1" s="8" t="s">
        <v>22</v>
      </c>
      <c r="AN1" s="8"/>
      <c r="AO1" s="8" t="s">
        <v>23</v>
      </c>
      <c r="AQ1" s="9" t="str">
        <f>IF(B15="y","Base  +  Pop    +%NP Land Tiers","Base + %NP Land")</f>
        <v>Base + %NP Land</v>
      </c>
      <c r="AR1" t="s">
        <v>24</v>
      </c>
      <c r="AS1" t="s">
        <v>25</v>
      </c>
    </row>
    <row r="2" spans="1:46" ht="40.5" customHeight="1" thickBot="1" x14ac:dyDescent="0.35">
      <c r="D2" s="10"/>
      <c r="E2" s="11"/>
      <c r="F2" s="11"/>
      <c r="G2" s="11"/>
      <c r="H2" s="11"/>
      <c r="I2" s="11"/>
      <c r="J2" s="12"/>
      <c r="K2" s="11"/>
      <c r="L2" s="11"/>
      <c r="M2" s="11"/>
      <c r="N2" s="11"/>
      <c r="O2" s="11"/>
      <c r="P2" s="11"/>
      <c r="Q2" s="11"/>
      <c r="R2" s="11"/>
      <c r="S2" s="11"/>
      <c r="T2" s="111"/>
      <c r="U2" s="13"/>
      <c r="V2" s="14"/>
      <c r="W2" s="15"/>
      <c r="X2" s="16"/>
      <c r="Y2" s="17"/>
      <c r="Z2" s="17"/>
      <c r="AA2" s="18"/>
      <c r="AE2" s="19" t="s">
        <v>26</v>
      </c>
      <c r="AF2" s="20" t="s">
        <v>27</v>
      </c>
      <c r="AG2" s="20" t="s">
        <v>28</v>
      </c>
      <c r="AH2" s="20" t="s">
        <v>29</v>
      </c>
      <c r="AJ2" s="19" t="s">
        <v>30</v>
      </c>
      <c r="AK2" s="19" t="s">
        <v>31</v>
      </c>
      <c r="AL2" s="19" t="s">
        <v>32</v>
      </c>
      <c r="AM2" s="19" t="s">
        <v>33</v>
      </c>
      <c r="AN2" s="19"/>
      <c r="AQ2">
        <v>2</v>
      </c>
      <c r="AR2" s="21">
        <f>MAX(AP4:AP93)</f>
        <v>373473.59517715033</v>
      </c>
      <c r="AS2" s="21">
        <f>MIN(AP4:AP93)</f>
        <v>197375.65479937778</v>
      </c>
    </row>
    <row r="3" spans="1:46" ht="30.6" x14ac:dyDescent="0.45">
      <c r="A3" s="22" t="s">
        <v>34</v>
      </c>
      <c r="B3" s="23">
        <v>12000000</v>
      </c>
      <c r="D3" s="24"/>
      <c r="E3" s="25"/>
      <c r="F3" s="25"/>
      <c r="G3" s="25"/>
      <c r="H3" s="25"/>
      <c r="I3" s="25"/>
      <c r="J3" s="26"/>
      <c r="K3" s="25"/>
      <c r="L3" s="25"/>
      <c r="M3" s="25"/>
      <c r="N3" s="25"/>
      <c r="O3" s="25"/>
      <c r="P3" s="25"/>
      <c r="Q3" s="25"/>
      <c r="R3" s="25"/>
      <c r="S3" s="25"/>
      <c r="T3" s="112" t="str">
        <f>IF(AND($A$10&gt;0,$B$15="n",$A$13&gt;0),"Active Column","Inactive Column")</f>
        <v>Active Column</v>
      </c>
      <c r="U3" s="27" t="str">
        <f>IF(AND($A$10&gt;0,$B$15="n",$A$13&gt;0),"Active Column","Inactive Column")</f>
        <v>Active Column</v>
      </c>
      <c r="V3" s="28" t="str">
        <f>IF(A10=0,"Active Column","Inactive Column")</f>
        <v>Inactive Column</v>
      </c>
      <c r="W3" s="28">
        <f>B16</f>
        <v>300000</v>
      </c>
      <c r="X3" s="28">
        <f>$B$17</f>
        <v>200000</v>
      </c>
      <c r="Y3" s="28"/>
      <c r="Z3" s="28"/>
      <c r="AA3" s="18"/>
      <c r="AE3" s="30" t="str">
        <f>IF(B15="n",CONCATENATE(($A$8*100),"%","base","-",($A$13*100),"%","NP Lands"),"")</f>
        <v>80%base-10%NP Lands</v>
      </c>
      <c r="AF3" s="31" t="s">
        <v>35</v>
      </c>
      <c r="AG3" s="19" t="s">
        <v>36</v>
      </c>
      <c r="AH3" s="19" t="s">
        <v>37</v>
      </c>
      <c r="AO3" t="s">
        <v>23</v>
      </c>
      <c r="AP3" t="s">
        <v>38</v>
      </c>
      <c r="AQ3" s="9" t="str">
        <f>IF(B15="n",AE3,"")</f>
        <v>80%base-10%NP Lands</v>
      </c>
    </row>
    <row r="4" spans="1:46" x14ac:dyDescent="0.3">
      <c r="D4" s="32" t="s">
        <v>39</v>
      </c>
      <c r="E4" s="33">
        <v>1275846.1969000001</v>
      </c>
      <c r="F4" s="33">
        <v>14900.742986400001</v>
      </c>
      <c r="G4" s="33">
        <v>617899.58440199995</v>
      </c>
      <c r="H4" s="33">
        <v>643045.86950699997</v>
      </c>
      <c r="I4" s="33">
        <v>3047.2106657099998</v>
      </c>
      <c r="J4" s="34">
        <v>5915.92001256</v>
      </c>
      <c r="K4" s="35">
        <f>E4-Q4-F4-G4-I4-J4</f>
        <v>517105.82980533032</v>
      </c>
      <c r="L4" s="36">
        <f>K4/K$94</f>
        <v>1.3845447963141593E-2</v>
      </c>
      <c r="M4" s="37">
        <v>15697</v>
      </c>
      <c r="N4" s="38">
        <f>$M4/$M$94</f>
        <v>2.7507257520992751E-3</v>
      </c>
      <c r="O4" s="38">
        <f>M4^(1/3)</f>
        <v>25.038341168132646</v>
      </c>
      <c r="P4" s="38">
        <f>$O4/$O$94</f>
        <v>8.7193654938332536E-3</v>
      </c>
      <c r="Q4" s="76">
        <v>116976.90902799999</v>
      </c>
      <c r="R4" s="33">
        <v>1610.5820546299999</v>
      </c>
      <c r="S4" s="39">
        <f>$R4/$R$94</f>
        <v>1.7690565293200605E-2</v>
      </c>
      <c r="T4" s="112">
        <f>($L4*$C$13)+($P4*$C$10)+$B$34</f>
        <v>133744.44281503648</v>
      </c>
      <c r="U4" s="28">
        <f>+($L4*$C$13)+($N4*$C$10)+$B$34</f>
        <v>126582.07512495571</v>
      </c>
      <c r="V4" s="28" t="e">
        <f>(#REF!*$C$13)+$B$34</f>
        <v>#REF!</v>
      </c>
      <c r="W4" s="28" t="e">
        <f>+IF(V4&gt;$W$3,ABS($W$3-V4),0)</f>
        <v>#REF!</v>
      </c>
      <c r="X4" s="28" t="e">
        <f>IF($X$3&gt;V4,(V4-$X$3)*-1,0)</f>
        <v>#REF!</v>
      </c>
      <c r="Y4" s="28" t="e">
        <f>IF($V4&lt;=$W$3,$V4,$W$3)</f>
        <v>#REF!</v>
      </c>
      <c r="Z4" s="28" t="e">
        <f>$Y4+$Y$101+X4</f>
        <v>#REF!</v>
      </c>
      <c r="AA4" s="16" t="e">
        <f t="shared" ref="AA4:AA67" si="0">Z4-Y4</f>
        <v>#REF!</v>
      </c>
      <c r="AE4" s="41" t="e" cm="1">
        <f t="array" ref="AE4">_xlfn.IFS($V4&gt;$W$3,($W$3+$Y$101),$V4&lt;$X$3,($V4+$X4+$Y$101), $V4&lt;$W$3,$V4+$Y$101,$V4&gt;$X$3,$V4+$Y$101)</f>
        <v>#REF!</v>
      </c>
      <c r="AF4" s="41">
        <v>247666.73336432516</v>
      </c>
      <c r="AG4" s="41">
        <v>244925.5795661243</v>
      </c>
      <c r="AH4" s="41">
        <v>247521.67854164011</v>
      </c>
      <c r="AI4" s="41">
        <v>217154.2720736326</v>
      </c>
      <c r="AJ4" s="41">
        <v>272497.28400934604</v>
      </c>
      <c r="AK4" s="41">
        <v>263146.33748771215</v>
      </c>
      <c r="AL4" s="41">
        <v>253795.3909660783</v>
      </c>
      <c r="AM4" s="41">
        <v>249119.91770526138</v>
      </c>
      <c r="AN4" s="41"/>
      <c r="AO4" s="32" t="s">
        <v>39</v>
      </c>
      <c r="AP4" s="41">
        <f>CHOOSE($AQ$2,$AE4,$AF4,$AG4,$AH4,$AI4,$AJ4,$AK4,$AL4,$AM4)</f>
        <v>247666.73336432516</v>
      </c>
      <c r="AR4" s="41"/>
    </row>
    <row r="5" spans="1:46" ht="15" thickBot="1" x14ac:dyDescent="0.35">
      <c r="D5" s="42" t="s">
        <v>40</v>
      </c>
      <c r="E5" s="43">
        <v>285142.93679800001</v>
      </c>
      <c r="F5" s="43">
        <v>19.9087924233</v>
      </c>
      <c r="G5" s="43">
        <v>24082.947888399998</v>
      </c>
      <c r="H5" s="43">
        <v>261040.08011800001</v>
      </c>
      <c r="I5" s="43">
        <v>0</v>
      </c>
      <c r="J5" s="44">
        <v>23283.248014000001</v>
      </c>
      <c r="K5" s="35">
        <f t="shared" ref="K5:K68" si="1">E5-Q5-F5-G5-I5-J5</f>
        <v>209596.42619467672</v>
      </c>
      <c r="L5" s="36">
        <f t="shared" ref="L5:L68" si="2">K5/K$94</f>
        <v>5.6119197364905256E-3</v>
      </c>
      <c r="M5" s="45">
        <v>363887</v>
      </c>
      <c r="N5" s="38">
        <f t="shared" ref="N5:N68" si="3">$M5/$M$94</f>
        <v>6.3767174731104603E-2</v>
      </c>
      <c r="O5" s="38">
        <f t="shared" ref="O5:O68" si="4">M5^(1/3)</f>
        <v>71.392980554715464</v>
      </c>
      <c r="P5" s="38">
        <f t="shared" ref="P5:P68" si="5">$O5/$O$94</f>
        <v>2.4861930228148598E-2</v>
      </c>
      <c r="Q5" s="76">
        <v>28160.405908500001</v>
      </c>
      <c r="R5" s="43">
        <v>1158.8321104700001</v>
      </c>
      <c r="S5" s="39">
        <f t="shared" ref="S5:S68" si="6">$R5/$R$94</f>
        <v>1.2728562978330565E-2</v>
      </c>
      <c r="T5" s="112">
        <f t="shared" ref="T5:T68" si="7">($L5*$C$13)+($P5*$C$10)+$B$34</f>
        <v>143235.28662423362</v>
      </c>
      <c r="U5" s="28">
        <f t="shared" ref="U5:U68" si="8">+($L5*$C$13)+($N5*$C$10)+$B$34</f>
        <v>189921.58002778084</v>
      </c>
      <c r="V5" s="28" t="e">
        <f>(#REF!*$C$13)+$B$34</f>
        <v>#REF!</v>
      </c>
      <c r="W5" s="28" t="e">
        <f t="shared" ref="W5:W68" si="9">+IF(V5&gt;$W$3,ABS($W$3-V5),0)</f>
        <v>#REF!</v>
      </c>
      <c r="X5" s="28" t="e">
        <f t="shared" ref="X5:X68" si="10">IF($X$3&gt;V5,(V5-$X$3)*-1,0)</f>
        <v>#REF!</v>
      </c>
      <c r="Y5" s="28" t="e">
        <f t="shared" ref="Y5:Y68" si="11">IF($V5&lt;=$W$3,$V5,$W$3)</f>
        <v>#REF!</v>
      </c>
      <c r="Z5" s="28" t="e">
        <f t="shared" ref="Z5:Z68" si="12">$Y5+$Y$101+X5</f>
        <v>#REF!</v>
      </c>
      <c r="AA5" s="16" t="e">
        <f t="shared" si="0"/>
        <v>#REF!</v>
      </c>
      <c r="AE5" s="41" t="e" cm="1">
        <f t="array" ref="AE5">_xlfn.IFS($V5&gt;$W$3,($W$3+$Y$101),$V5&lt;$X$3,($V5+$X5+$Y$101), $V5&lt;$W$3,$V5+$Y$101,$V5&gt;$X$3,$V5+$Y$101)</f>
        <v>#REF!</v>
      </c>
      <c r="AF5" s="41">
        <v>259865.230454009</v>
      </c>
      <c r="AG5" s="41">
        <v>273869.57777867233</v>
      </c>
      <c r="AH5" s="41">
        <v>289735.47820882045</v>
      </c>
      <c r="AI5" s="41">
        <v>467902.79054162093</v>
      </c>
      <c r="AJ5" s="41">
        <v>212650.23666494447</v>
      </c>
      <c r="AK5" s="41">
        <v>223248.30592477781</v>
      </c>
      <c r="AL5" s="41">
        <v>233846.37518461113</v>
      </c>
      <c r="AM5" s="41">
        <v>239145.40981452778</v>
      </c>
      <c r="AN5" s="41"/>
      <c r="AO5" s="42" t="s">
        <v>40</v>
      </c>
      <c r="AP5" s="41">
        <f t="shared" ref="AP5:AP68" si="13">CHOOSE($AQ$2,$AE5,$AF5,$AG5,$AH5,$AI5,$AJ5,$AK5,$AL5,$AM5)</f>
        <v>259865.230454009</v>
      </c>
      <c r="AR5" s="41"/>
      <c r="AT5" t="s">
        <v>26</v>
      </c>
    </row>
    <row r="6" spans="1:46" x14ac:dyDescent="0.3">
      <c r="A6" s="46" t="s">
        <v>41</v>
      </c>
      <c r="B6" s="47"/>
      <c r="C6" s="48"/>
      <c r="D6" s="32" t="s">
        <v>42</v>
      </c>
      <c r="E6" s="33">
        <v>925092.26608800003</v>
      </c>
      <c r="F6" s="33">
        <v>54141.394566499999</v>
      </c>
      <c r="G6" s="33">
        <v>131696.799772</v>
      </c>
      <c r="H6" s="33">
        <v>739254.07175</v>
      </c>
      <c r="I6" s="33">
        <v>15510.211058700001</v>
      </c>
      <c r="J6" s="34">
        <v>3602.4524070699999</v>
      </c>
      <c r="K6" s="35">
        <f t="shared" si="1"/>
        <v>626427.54010303016</v>
      </c>
      <c r="L6" s="36">
        <f t="shared" si="2"/>
        <v>1.6772523938553156E-2</v>
      </c>
      <c r="M6" s="37">
        <v>35183</v>
      </c>
      <c r="N6" s="38">
        <f t="shared" si="3"/>
        <v>6.1654318746326552E-3</v>
      </c>
      <c r="O6" s="38">
        <f t="shared" si="4"/>
        <v>32.767574042028357</v>
      </c>
      <c r="P6" s="38">
        <f t="shared" si="5"/>
        <v>1.1410997737435043E-2</v>
      </c>
      <c r="Q6" s="76">
        <v>93713.868180699996</v>
      </c>
      <c r="R6" s="33">
        <v>2598.3320394399998</v>
      </c>
      <c r="S6" s="39">
        <f t="shared" si="6"/>
        <v>2.8539969425952778E-2</v>
      </c>
      <c r="T6" s="112">
        <f t="shared" si="7"/>
        <v>140486.89267785251</v>
      </c>
      <c r="U6" s="28">
        <f t="shared" si="8"/>
        <v>134192.21364248963</v>
      </c>
      <c r="V6" s="28" t="e">
        <f>(#REF!*$C$13)+$B$34</f>
        <v>#REF!</v>
      </c>
      <c r="W6" s="28" t="e">
        <f t="shared" si="9"/>
        <v>#REF!</v>
      </c>
      <c r="X6" s="28" t="e">
        <f t="shared" si="10"/>
        <v>#REF!</v>
      </c>
      <c r="Y6" s="28" t="e">
        <f t="shared" si="11"/>
        <v>#REF!</v>
      </c>
      <c r="Z6" s="28" t="e">
        <f t="shared" si="12"/>
        <v>#REF!</v>
      </c>
      <c r="AA6" s="16" t="e">
        <f t="shared" si="0"/>
        <v>#REF!</v>
      </c>
      <c r="AE6" s="41" t="e" cm="1">
        <f t="array" ref="AE6">_xlfn.IFS($V6&gt;$W$3,($W$3+$Y$101),$V6&lt;$X$3,($V6+$X6+$Y$101), $V6&lt;$W$3,$V6+$Y$101,$V6&gt;$X$3,$V6+$Y$101)</f>
        <v>#REF!</v>
      </c>
      <c r="AF6" s="41">
        <v>258118.53633986009</v>
      </c>
      <c r="AG6" s="41">
        <v>261504.26472894312</v>
      </c>
      <c r="AH6" s="41">
        <v>264165.936484429</v>
      </c>
      <c r="AI6" s="41">
        <v>237283.79851080777</v>
      </c>
      <c r="AJ6" s="41">
        <v>288174.98847264837</v>
      </c>
      <c r="AK6" s="41">
        <v>273598.14046324708</v>
      </c>
      <c r="AL6" s="41">
        <v>259021.29245384576</v>
      </c>
      <c r="AM6" s="41">
        <v>251732.86844914511</v>
      </c>
      <c r="AN6" s="41"/>
      <c r="AO6" s="32" t="s">
        <v>42</v>
      </c>
      <c r="AP6" s="41">
        <f t="shared" si="13"/>
        <v>258118.53633986009</v>
      </c>
      <c r="AR6" s="41"/>
      <c r="AT6" t="s">
        <v>27</v>
      </c>
    </row>
    <row r="7" spans="1:46" x14ac:dyDescent="0.3">
      <c r="A7" s="49"/>
      <c r="B7" s="18"/>
      <c r="C7" s="50"/>
      <c r="D7" s="42" t="s">
        <v>43</v>
      </c>
      <c r="E7" s="43">
        <v>1955221.72505</v>
      </c>
      <c r="F7" s="43">
        <v>96637.415708700006</v>
      </c>
      <c r="G7" s="43">
        <v>707962.37567500002</v>
      </c>
      <c r="H7" s="43">
        <v>1150621.9336600001</v>
      </c>
      <c r="I7" s="43">
        <v>528323.34209199995</v>
      </c>
      <c r="J7" s="44">
        <v>10126.087049600001</v>
      </c>
      <c r="K7" s="35">
        <f t="shared" si="1"/>
        <v>483693.90011869994</v>
      </c>
      <c r="L7" s="36">
        <f t="shared" si="2"/>
        <v>1.2950847463281557E-2</v>
      </c>
      <c r="M7" s="45">
        <v>46228</v>
      </c>
      <c r="N7" s="38">
        <f t="shared" si="3"/>
        <v>8.1009460449796324E-3</v>
      </c>
      <c r="O7" s="38">
        <f t="shared" si="4"/>
        <v>35.889579355117206</v>
      </c>
      <c r="P7" s="38">
        <f t="shared" si="5"/>
        <v>1.2498206559126371E-2</v>
      </c>
      <c r="Q7" s="76">
        <v>128478.604406</v>
      </c>
      <c r="R7" s="43">
        <v>2435.11723385</v>
      </c>
      <c r="S7" s="39">
        <f t="shared" si="6"/>
        <v>2.674722489188416E-2</v>
      </c>
      <c r="T7" s="112">
        <f t="shared" si="7"/>
        <v>137205.53149355619</v>
      </c>
      <c r="U7" s="28">
        <f t="shared" si="8"/>
        <v>131928.8188765801</v>
      </c>
      <c r="V7" s="28" t="e">
        <f>(#REF!*$C$13)+$B$34</f>
        <v>#REF!</v>
      </c>
      <c r="W7" s="28" t="e">
        <f t="shared" si="9"/>
        <v>#REF!</v>
      </c>
      <c r="X7" s="28" t="e">
        <f t="shared" si="10"/>
        <v>#REF!</v>
      </c>
      <c r="Y7" s="28" t="e">
        <f t="shared" si="11"/>
        <v>#REF!</v>
      </c>
      <c r="Z7" s="28" t="e">
        <f t="shared" si="12"/>
        <v>#REF!</v>
      </c>
      <c r="AA7" s="16" t="e">
        <f t="shared" si="0"/>
        <v>#REF!</v>
      </c>
      <c r="AE7" s="41" t="e" cm="1">
        <f t="array" ref="AE7">_xlfn.IFS($V7&gt;$W$3,($W$3+$Y$101),$V7&lt;$X$3,($V7+$X7+$Y$101), $V7&lt;$W$3,$V7+$Y$101,$V7&gt;$X$3,$V7+$Y$101)</f>
        <v>#REF!</v>
      </c>
      <c r="AF7" s="41">
        <v>353163.50573632191</v>
      </c>
      <c r="AG7" s="41">
        <v>367167.85306098528</v>
      </c>
      <c r="AH7" s="41">
        <v>307114.37722827261</v>
      </c>
      <c r="AI7" s="41">
        <v>267362.3721860784</v>
      </c>
      <c r="AJ7" s="41">
        <v>352597.64958841389</v>
      </c>
      <c r="AK7" s="41">
        <v>316546.58120709076</v>
      </c>
      <c r="AL7" s="41">
        <v>280495.51282576763</v>
      </c>
      <c r="AM7" s="41">
        <v>262469.978635106</v>
      </c>
      <c r="AN7" s="41"/>
      <c r="AO7" s="42" t="s">
        <v>43</v>
      </c>
      <c r="AP7" s="41">
        <f t="shared" si="13"/>
        <v>353163.50573632191</v>
      </c>
      <c r="AR7" s="41"/>
      <c r="AT7" t="s">
        <v>28</v>
      </c>
    </row>
    <row r="8" spans="1:46" x14ac:dyDescent="0.3">
      <c r="A8" s="51">
        <v>0.8</v>
      </c>
      <c r="B8" s="18" t="s">
        <v>44</v>
      </c>
      <c r="C8" s="52">
        <f>A8*$B$3</f>
        <v>9600000</v>
      </c>
      <c r="D8" s="32" t="s">
        <v>45</v>
      </c>
      <c r="E8" s="33">
        <v>264244.67512999999</v>
      </c>
      <c r="F8" s="33">
        <v>0</v>
      </c>
      <c r="G8" s="33">
        <v>2785.7400635600002</v>
      </c>
      <c r="H8" s="33">
        <v>261458.93506600001</v>
      </c>
      <c r="I8" s="33">
        <v>0</v>
      </c>
      <c r="J8" s="34">
        <v>2395.8139403599998</v>
      </c>
      <c r="K8" s="35">
        <f t="shared" si="1"/>
        <v>257116.28516115999</v>
      </c>
      <c r="L8" s="36">
        <f t="shared" si="2"/>
        <v>6.8842583886847145E-3</v>
      </c>
      <c r="M8" s="37">
        <v>41379</v>
      </c>
      <c r="N8" s="38">
        <f t="shared" si="3"/>
        <v>7.251212390655278E-3</v>
      </c>
      <c r="O8" s="38">
        <f t="shared" si="4"/>
        <v>34.58809663265523</v>
      </c>
      <c r="P8" s="38">
        <f t="shared" si="5"/>
        <v>1.2044977510730054E-2</v>
      </c>
      <c r="Q8" s="76">
        <v>1946.8359649199999</v>
      </c>
      <c r="R8" s="33">
        <v>285.952031487</v>
      </c>
      <c r="S8" s="39">
        <f t="shared" si="6"/>
        <v>3.140885041654246E-3</v>
      </c>
      <c r="T8" s="112">
        <f t="shared" si="7"/>
        <v>129381.74974596439</v>
      </c>
      <c r="U8" s="28">
        <f t="shared" si="8"/>
        <v>123629.23160187466</v>
      </c>
      <c r="V8" s="28" t="e">
        <f>(#REF!*$C$13)+$B$34</f>
        <v>#REF!</v>
      </c>
      <c r="W8" s="28" t="e">
        <f t="shared" si="9"/>
        <v>#REF!</v>
      </c>
      <c r="X8" s="28" t="e">
        <f t="shared" si="10"/>
        <v>#REF!</v>
      </c>
      <c r="Y8" s="28" t="e">
        <f t="shared" si="11"/>
        <v>#REF!</v>
      </c>
      <c r="Z8" s="28" t="e">
        <f t="shared" si="12"/>
        <v>#REF!</v>
      </c>
      <c r="AA8" s="16" t="e">
        <f t="shared" si="0"/>
        <v>#REF!</v>
      </c>
      <c r="AE8" s="41" t="e" cm="1">
        <f t="array" ref="AE8">_xlfn.IFS($V8&gt;$W$3,($W$3+$Y$101),$V8&lt;$X$3,($V8+$X8+$Y$101), $V8&lt;$W$3,$V8+$Y$101,$V8&gt;$X$3,$V8+$Y$101)</f>
        <v>#REF!</v>
      </c>
      <c r="AF8" s="41">
        <v>259655.53741157643</v>
      </c>
      <c r="AG8" s="41">
        <v>210944.73714804125</v>
      </c>
      <c r="AH8" s="41">
        <v>213606.40890352713</v>
      </c>
      <c r="AI8" s="41">
        <v>216814.63991817931</v>
      </c>
      <c r="AJ8" s="41">
        <v>212335.69710129563</v>
      </c>
      <c r="AK8" s="41">
        <v>223038.61288234525</v>
      </c>
      <c r="AL8" s="41">
        <v>233741.52866339486</v>
      </c>
      <c r="AM8" s="41">
        <v>239092.98655391965</v>
      </c>
      <c r="AN8" s="41"/>
      <c r="AO8" s="32" t="s">
        <v>45</v>
      </c>
      <c r="AP8" s="41">
        <f t="shared" si="13"/>
        <v>259655.53741157643</v>
      </c>
      <c r="AR8" s="41"/>
      <c r="AT8" t="s">
        <v>29</v>
      </c>
    </row>
    <row r="9" spans="1:46" x14ac:dyDescent="0.3">
      <c r="A9" s="51">
        <v>0</v>
      </c>
      <c r="B9" s="18" t="s">
        <v>46</v>
      </c>
      <c r="C9" s="52">
        <f t="shared" ref="C9:C13" si="14">A9*$B$3</f>
        <v>0</v>
      </c>
      <c r="D9" s="42" t="s">
        <v>47</v>
      </c>
      <c r="E9" s="43">
        <v>338317.47610999999</v>
      </c>
      <c r="F9" s="43">
        <v>13591.435398199999</v>
      </c>
      <c r="G9" s="43">
        <v>9738.8890393000001</v>
      </c>
      <c r="H9" s="43">
        <v>314987.15167300001</v>
      </c>
      <c r="I9" s="43">
        <v>0</v>
      </c>
      <c r="J9" s="44">
        <v>2430.9421023499999</v>
      </c>
      <c r="K9" s="35">
        <f t="shared" si="1"/>
        <v>286019.82040174998</v>
      </c>
      <c r="L9" s="36">
        <f t="shared" si="2"/>
        <v>7.6581471558546197E-3</v>
      </c>
      <c r="M9" s="45">
        <v>5166</v>
      </c>
      <c r="N9" s="38">
        <f t="shared" si="3"/>
        <v>9.0528440054436223E-4</v>
      </c>
      <c r="O9" s="38">
        <f t="shared" si="4"/>
        <v>17.286940370520018</v>
      </c>
      <c r="P9" s="38">
        <f t="shared" si="5"/>
        <v>6.020013480465998E-3</v>
      </c>
      <c r="Q9" s="76">
        <v>26536.389168400001</v>
      </c>
      <c r="R9" s="43">
        <v>820.50596100600001</v>
      </c>
      <c r="S9" s="39">
        <f t="shared" si="6"/>
        <v>9.0124028359247679E-3</v>
      </c>
      <c r="T9" s="112">
        <f t="shared" si="7"/>
        <v>123080.45943025142</v>
      </c>
      <c r="U9" s="28">
        <f t="shared" si="8"/>
        <v>116942.78453434545</v>
      </c>
      <c r="V9" s="28" t="e">
        <f>(#REF!*$C$13)+$B$34</f>
        <v>#REF!</v>
      </c>
      <c r="W9" s="28" t="e">
        <f t="shared" si="9"/>
        <v>#REF!</v>
      </c>
      <c r="X9" s="28" t="e">
        <f t="shared" si="10"/>
        <v>#REF!</v>
      </c>
      <c r="Y9" s="28" t="e">
        <f t="shared" si="11"/>
        <v>#REF!</v>
      </c>
      <c r="Z9" s="28" t="e">
        <f t="shared" si="12"/>
        <v>#REF!</v>
      </c>
      <c r="AA9" s="16" t="e">
        <f t="shared" si="0"/>
        <v>#REF!</v>
      </c>
      <c r="AE9" s="41" t="e" cm="1">
        <f t="array" ref="AE9">_xlfn.IFS($V9&gt;$W$3,($W$3+$Y$101),$V9&lt;$X$3,($V9+$X9+$Y$101), $V9&lt;$W$3,$V9+$Y$101,$V9&gt;$X$3,$V9+$Y$101)</f>
        <v>#REF!</v>
      </c>
      <c r="AF9" s="41">
        <v>207576.17823370581</v>
      </c>
      <c r="AG9" s="41">
        <v>207088.83289129107</v>
      </c>
      <c r="AH9" s="41">
        <v>206767.96058372335</v>
      </c>
      <c r="AI9" s="41">
        <v>191656.51915035138</v>
      </c>
      <c r="AJ9" s="41">
        <v>220848.02573710281</v>
      </c>
      <c r="AK9" s="41">
        <v>228713.49863955003</v>
      </c>
      <c r="AL9" s="41">
        <v>236578.97154199725</v>
      </c>
      <c r="AM9" s="41">
        <v>240511.70799322083</v>
      </c>
      <c r="AN9" s="41"/>
      <c r="AO9" s="42" t="s">
        <v>47</v>
      </c>
      <c r="AP9" s="41">
        <f t="shared" si="13"/>
        <v>207576.17823370581</v>
      </c>
      <c r="AR9" s="41"/>
      <c r="AT9" t="s">
        <v>48</v>
      </c>
    </row>
    <row r="10" spans="1:46" x14ac:dyDescent="0.3">
      <c r="A10" s="51">
        <v>0.1</v>
      </c>
      <c r="B10" s="18" t="s">
        <v>6</v>
      </c>
      <c r="C10" s="52">
        <f t="shared" si="14"/>
        <v>1200000</v>
      </c>
      <c r="D10" s="32" t="s">
        <v>49</v>
      </c>
      <c r="E10" s="33">
        <v>489754.22964600002</v>
      </c>
      <c r="F10" s="33">
        <v>3182.2328763999999</v>
      </c>
      <c r="G10" s="33">
        <v>6009.3157033099997</v>
      </c>
      <c r="H10" s="33">
        <v>480562.68106600002</v>
      </c>
      <c r="I10" s="33">
        <v>0</v>
      </c>
      <c r="J10" s="34">
        <v>5013.5805275499997</v>
      </c>
      <c r="K10" s="35">
        <f t="shared" si="1"/>
        <v>464321.31510114</v>
      </c>
      <c r="L10" s="36">
        <f t="shared" si="2"/>
        <v>1.2432148770843421E-2</v>
      </c>
      <c r="M10" s="37">
        <v>69112</v>
      </c>
      <c r="N10" s="38">
        <f t="shared" si="3"/>
        <v>1.2111114109644206E-2</v>
      </c>
      <c r="O10" s="38">
        <f t="shared" si="4"/>
        <v>41.037839348090529</v>
      </c>
      <c r="P10" s="38">
        <f t="shared" si="5"/>
        <v>1.4291039408338709E-2</v>
      </c>
      <c r="Q10" s="76">
        <v>11227.7854376</v>
      </c>
      <c r="R10" s="33">
        <v>744.95819462999998</v>
      </c>
      <c r="S10" s="39">
        <f t="shared" si="6"/>
        <v>8.1825893594936507E-3</v>
      </c>
      <c r="T10" s="112">
        <f t="shared" si="7"/>
        <v>138734.49248168521</v>
      </c>
      <c r="U10" s="28">
        <f t="shared" si="8"/>
        <v>136118.58212325181</v>
      </c>
      <c r="V10" s="28" t="e">
        <f>(#REF!*$C$13)+$B$34</f>
        <v>#REF!</v>
      </c>
      <c r="W10" s="28" t="e">
        <f t="shared" si="9"/>
        <v>#REF!</v>
      </c>
      <c r="X10" s="28" t="e">
        <f t="shared" si="10"/>
        <v>#REF!</v>
      </c>
      <c r="Y10" s="28" t="e">
        <f t="shared" si="11"/>
        <v>#REF!</v>
      </c>
      <c r="Z10" s="28" t="e">
        <f t="shared" si="12"/>
        <v>#REF!</v>
      </c>
      <c r="AA10" s="16" t="e">
        <f t="shared" si="0"/>
        <v>#REF!</v>
      </c>
      <c r="AE10" s="41" t="e" cm="1">
        <f t="array" ref="AE10">_xlfn.IFS($V10&gt;$W$3,($W$3+$Y$101),$V10&lt;$X$3,($V10+$X10+$Y$101), $V10&lt;$W$3,$V10+$Y$101,$V10&gt;$X$3,$V10+$Y$101)</f>
        <v>#REF!</v>
      </c>
      <c r="AF10" s="41">
        <v>282621.74177436868</v>
      </c>
      <c r="AG10" s="41">
        <v>296626.08909903199</v>
      </c>
      <c r="AH10" s="41">
        <v>312491.98952918011</v>
      </c>
      <c r="AI10" s="41">
        <v>249745.79453685414</v>
      </c>
      <c r="AJ10" s="41">
        <v>246785.00364548399</v>
      </c>
      <c r="AK10" s="41">
        <v>246004.81724513747</v>
      </c>
      <c r="AL10" s="41">
        <v>245224.63084479095</v>
      </c>
      <c r="AM10" s="41">
        <v>244834.5376446177</v>
      </c>
      <c r="AN10" s="41"/>
      <c r="AO10" s="32" t="s">
        <v>49</v>
      </c>
      <c r="AP10" s="41">
        <f t="shared" si="13"/>
        <v>282621.74177436868</v>
      </c>
      <c r="AR10" s="41"/>
      <c r="AT10" t="s">
        <v>30</v>
      </c>
    </row>
    <row r="11" spans="1:46" x14ac:dyDescent="0.3">
      <c r="A11" s="51">
        <v>0</v>
      </c>
      <c r="B11" s="18" t="s">
        <v>50</v>
      </c>
      <c r="C11" s="52">
        <f t="shared" si="14"/>
        <v>0</v>
      </c>
      <c r="D11" s="42" t="s">
        <v>51</v>
      </c>
      <c r="E11" s="43">
        <v>395605.57059600001</v>
      </c>
      <c r="F11" s="43">
        <v>1.2424611433799999</v>
      </c>
      <c r="G11" s="43">
        <v>5694.84058929</v>
      </c>
      <c r="H11" s="43">
        <v>389909.48754599999</v>
      </c>
      <c r="I11" s="43">
        <v>0</v>
      </c>
      <c r="J11" s="44">
        <v>3301.1598000700001</v>
      </c>
      <c r="K11" s="35">
        <f t="shared" si="1"/>
        <v>381265.82377576665</v>
      </c>
      <c r="L11" s="36">
        <f t="shared" si="2"/>
        <v>1.0208347728740449E-2</v>
      </c>
      <c r="M11" s="45">
        <v>25912</v>
      </c>
      <c r="N11" s="38">
        <f t="shared" si="3"/>
        <v>4.5407915963812454E-3</v>
      </c>
      <c r="O11" s="38">
        <f t="shared" si="4"/>
        <v>29.591499872405933</v>
      </c>
      <c r="P11" s="38">
        <f t="shared" si="5"/>
        <v>1.0304959947850668E-2</v>
      </c>
      <c r="Q11" s="76">
        <v>5342.5039697299999</v>
      </c>
      <c r="R11" s="43">
        <v>469.063798228</v>
      </c>
      <c r="S11" s="39">
        <f t="shared" si="6"/>
        <v>5.1521769570041639E-3</v>
      </c>
      <c r="T11" s="112">
        <f t="shared" si="7"/>
        <v>131282.63587857602</v>
      </c>
      <c r="U11" s="28">
        <f t="shared" si="8"/>
        <v>124365.6338568127</v>
      </c>
      <c r="V11" s="28" t="e">
        <f>(#REF!*$C$13)+$B$34</f>
        <v>#REF!</v>
      </c>
      <c r="W11" s="28" t="e">
        <f t="shared" si="9"/>
        <v>#REF!</v>
      </c>
      <c r="X11" s="28" t="e">
        <f t="shared" si="10"/>
        <v>#REF!</v>
      </c>
      <c r="Y11" s="28" t="e">
        <f t="shared" si="11"/>
        <v>#REF!</v>
      </c>
      <c r="Z11" s="28" t="e">
        <f t="shared" si="12"/>
        <v>#REF!</v>
      </c>
      <c r="AA11" s="16" t="e">
        <f t="shared" si="0"/>
        <v>#REF!</v>
      </c>
      <c r="AE11" s="41" t="e" cm="1">
        <f t="array" ref="AE11">_xlfn.IFS($V11&gt;$W$3,($W$3+$Y$101),$V11&lt;$X$3,($V11+$X11+$Y$101), $V11&lt;$W$3,$V11+$Y$101,$V11&gt;$X$3,$V11+$Y$101)</f>
        <v>#REF!</v>
      </c>
      <c r="AF11" s="41">
        <v>221089.81241036914</v>
      </c>
      <c r="AG11" s="41">
        <v>224475.54079945217</v>
      </c>
      <c r="AH11" s="41">
        <v>220944.75758768409</v>
      </c>
      <c r="AI11" s="41">
        <v>211522.69153652203</v>
      </c>
      <c r="AJ11" s="41">
        <v>232631.90257841197</v>
      </c>
      <c r="AK11" s="41">
        <v>236569.41653375613</v>
      </c>
      <c r="AL11" s="41">
        <v>240506.93048910028</v>
      </c>
      <c r="AM11" s="41">
        <v>242475.68746677236</v>
      </c>
      <c r="AN11" s="41"/>
      <c r="AO11" s="42" t="s">
        <v>51</v>
      </c>
      <c r="AP11" s="41">
        <f t="shared" si="13"/>
        <v>221089.81241036914</v>
      </c>
      <c r="AR11" s="41"/>
      <c r="AT11" t="s">
        <v>31</v>
      </c>
    </row>
    <row r="12" spans="1:46" x14ac:dyDescent="0.3">
      <c r="A12" s="51">
        <v>0</v>
      </c>
      <c r="B12" s="18" t="s">
        <v>52</v>
      </c>
      <c r="C12" s="52">
        <f t="shared" si="14"/>
        <v>0</v>
      </c>
      <c r="D12" s="32" t="s">
        <v>53</v>
      </c>
      <c r="E12" s="33">
        <v>559674.38555899996</v>
      </c>
      <c r="F12" s="33">
        <v>1535.77907931</v>
      </c>
      <c r="G12" s="33">
        <v>159116.84365600001</v>
      </c>
      <c r="H12" s="33">
        <v>399021.76282300003</v>
      </c>
      <c r="I12" s="33">
        <v>24007.128697</v>
      </c>
      <c r="J12" s="34">
        <v>7283.5519852199996</v>
      </c>
      <c r="K12" s="35">
        <f t="shared" si="1"/>
        <v>358519.34110829997</v>
      </c>
      <c r="L12" s="36">
        <f t="shared" si="2"/>
        <v>9.5993133223105844E-3</v>
      </c>
      <c r="M12" s="37">
        <v>36207</v>
      </c>
      <c r="N12" s="38">
        <f t="shared" si="3"/>
        <v>6.344876556428518E-3</v>
      </c>
      <c r="O12" s="38">
        <f t="shared" si="4"/>
        <v>33.082438513923982</v>
      </c>
      <c r="P12" s="38">
        <f t="shared" si="5"/>
        <v>1.1520646311717389E-2</v>
      </c>
      <c r="Q12" s="76">
        <v>9211.7410331699994</v>
      </c>
      <c r="R12" s="33">
        <v>921.065313554</v>
      </c>
      <c r="S12" s="39">
        <f t="shared" si="6"/>
        <v>1.0116942518940826E-2</v>
      </c>
      <c r="T12" s="112">
        <f t="shared" si="7"/>
        <v>132010.61822750024</v>
      </c>
      <c r="U12" s="28">
        <f t="shared" si="8"/>
        <v>125799.69452115359</v>
      </c>
      <c r="V12" s="28" t="e">
        <f>(#REF!*$C$13)+$B$34</f>
        <v>#REF!</v>
      </c>
      <c r="W12" s="28" t="e">
        <f t="shared" si="9"/>
        <v>#REF!</v>
      </c>
      <c r="X12" s="28" t="e">
        <f t="shared" si="10"/>
        <v>#REF!</v>
      </c>
      <c r="Y12" s="28" t="e">
        <f t="shared" si="11"/>
        <v>#REF!</v>
      </c>
      <c r="Z12" s="28" t="e">
        <f t="shared" si="12"/>
        <v>#REF!</v>
      </c>
      <c r="AA12" s="16" t="e">
        <f t="shared" si="0"/>
        <v>#REF!</v>
      </c>
      <c r="AE12" s="41" t="e" cm="1">
        <f t="array" ref="AE12">_xlfn.IFS($V12&gt;$W$3,($W$3+$Y$101),$V12&lt;$X$3,($V12+$X12+$Y$101), $V12&lt;$W$3,$V12+$Y$101,$V12&gt;$X$3,$V12+$Y$101)</f>
        <v>#REF!</v>
      </c>
      <c r="AF12" s="41">
        <v>273730.55156470247</v>
      </c>
      <c r="AG12" s="41">
        <v>225019.7513011673</v>
      </c>
      <c r="AH12" s="41">
        <v>227681.42305665318</v>
      </c>
      <c r="AI12" s="41">
        <v>219958.94887791487</v>
      </c>
      <c r="AJ12" s="41">
        <v>233448.21833098467</v>
      </c>
      <c r="AK12" s="41">
        <v>237113.62703547129</v>
      </c>
      <c r="AL12" s="41">
        <v>240779.03573995785</v>
      </c>
      <c r="AM12" s="41">
        <v>242611.74009220116</v>
      </c>
      <c r="AN12" s="41"/>
      <c r="AO12" s="32" t="s">
        <v>53</v>
      </c>
      <c r="AP12" s="41">
        <f t="shared" si="13"/>
        <v>273730.55156470247</v>
      </c>
      <c r="AR12" s="41"/>
      <c r="AT12" t="s">
        <v>32</v>
      </c>
    </row>
    <row r="13" spans="1:46" x14ac:dyDescent="0.3">
      <c r="A13" s="51">
        <v>0.1</v>
      </c>
      <c r="B13" s="18" t="s">
        <v>54</v>
      </c>
      <c r="C13" s="52">
        <f t="shared" si="14"/>
        <v>1200000</v>
      </c>
      <c r="D13" s="42" t="s">
        <v>55</v>
      </c>
      <c r="E13" s="43">
        <v>240517.311078</v>
      </c>
      <c r="F13" s="43">
        <v>2560.5882416200002</v>
      </c>
      <c r="G13" s="43">
        <v>3495.9132101300002</v>
      </c>
      <c r="H13" s="43">
        <v>234460.809626</v>
      </c>
      <c r="I13" s="43">
        <v>0</v>
      </c>
      <c r="J13" s="44">
        <v>10971.371564999999</v>
      </c>
      <c r="K13" s="35">
        <f t="shared" si="1"/>
        <v>205549.81803525001</v>
      </c>
      <c r="L13" s="36">
        <f t="shared" si="2"/>
        <v>5.5035722774807155E-3</v>
      </c>
      <c r="M13" s="45">
        <v>106922</v>
      </c>
      <c r="N13" s="38">
        <f t="shared" si="3"/>
        <v>1.8736898698219959E-2</v>
      </c>
      <c r="O13" s="38">
        <f t="shared" si="4"/>
        <v>47.463055298335931</v>
      </c>
      <c r="P13" s="38">
        <f t="shared" si="5"/>
        <v>1.6528560091949359E-2</v>
      </c>
      <c r="Q13" s="76">
        <v>17939.620026000001</v>
      </c>
      <c r="R13" s="43">
        <v>675.74992054899997</v>
      </c>
      <c r="S13" s="39">
        <f t="shared" si="6"/>
        <v>7.4224085987928731E-3</v>
      </c>
      <c r="T13" s="112">
        <f t="shared" si="7"/>
        <v>133105.22550998276</v>
      </c>
      <c r="U13" s="28">
        <f t="shared" si="8"/>
        <v>135755.23183750748</v>
      </c>
      <c r="V13" s="28" t="e">
        <f>(#REF!*$C$13)+$B$34</f>
        <v>#REF!</v>
      </c>
      <c r="W13" s="28" t="e">
        <f t="shared" si="9"/>
        <v>#REF!</v>
      </c>
      <c r="X13" s="28" t="e">
        <f t="shared" si="10"/>
        <v>#REF!</v>
      </c>
      <c r="Y13" s="28" t="e">
        <f t="shared" si="11"/>
        <v>#REF!</v>
      </c>
      <c r="Z13" s="28" t="e">
        <f t="shared" si="12"/>
        <v>#REF!</v>
      </c>
      <c r="AA13" s="16" t="e">
        <f t="shared" si="0"/>
        <v>#REF!</v>
      </c>
      <c r="AE13" s="41" t="e" cm="1">
        <f t="array" ref="AE13">_xlfn.IFS($V13&gt;$W$3,($W$3+$Y$101),$V13&lt;$X$3,($V13+$X13+$Y$101), $V13&lt;$W$3,$V13+$Y$101,$V13&gt;$X$3,$V13+$Y$101)</f>
        <v>#REF!</v>
      </c>
      <c r="AF13" s="41">
        <v>257045.56378254254</v>
      </c>
      <c r="AG13" s="41">
        <v>271049.9111072059</v>
      </c>
      <c r="AH13" s="41">
        <v>286915.81153735402</v>
      </c>
      <c r="AI13" s="41">
        <v>267290.72991810821</v>
      </c>
      <c r="AJ13" s="41">
        <v>208420.7366577448</v>
      </c>
      <c r="AK13" s="41">
        <v>220428.63925331138</v>
      </c>
      <c r="AL13" s="41">
        <v>232436.54184887791</v>
      </c>
      <c r="AM13" s="41">
        <v>238440.49314666117</v>
      </c>
      <c r="AN13" s="41"/>
      <c r="AO13" s="42" t="s">
        <v>55</v>
      </c>
      <c r="AP13" s="41">
        <f t="shared" si="13"/>
        <v>257045.56378254254</v>
      </c>
      <c r="AR13" s="41"/>
      <c r="AT13" t="s">
        <v>33</v>
      </c>
    </row>
    <row r="14" spans="1:46" ht="18.600000000000001" thickBot="1" x14ac:dyDescent="0.4">
      <c r="A14" s="53">
        <f>SUM(A8:A13)</f>
        <v>1</v>
      </c>
      <c r="B14" s="54" t="s">
        <v>56</v>
      </c>
      <c r="C14" s="55">
        <f>SUM(C8:C13)</f>
        <v>12000000</v>
      </c>
      <c r="D14" s="32" t="s">
        <v>57</v>
      </c>
      <c r="E14" s="33">
        <v>1544207.00979</v>
      </c>
      <c r="F14" s="33">
        <v>289829.53106100002</v>
      </c>
      <c r="G14" s="33">
        <v>445927.29405999999</v>
      </c>
      <c r="H14" s="33">
        <v>808450.18466899998</v>
      </c>
      <c r="I14" s="33">
        <v>18445.556286899999</v>
      </c>
      <c r="J14" s="34">
        <v>10414.1260339</v>
      </c>
      <c r="K14" s="35">
        <f t="shared" si="1"/>
        <v>504614.59894420009</v>
      </c>
      <c r="L14" s="36">
        <f t="shared" si="2"/>
        <v>1.3510996721413232E-2</v>
      </c>
      <c r="M14" s="37">
        <v>30066</v>
      </c>
      <c r="N14" s="38">
        <f t="shared" si="3"/>
        <v>5.2687341824945401E-3</v>
      </c>
      <c r="O14" s="38">
        <f t="shared" si="4"/>
        <v>31.095094741636419</v>
      </c>
      <c r="P14" s="38">
        <f t="shared" si="5"/>
        <v>1.0828572639739346E-2</v>
      </c>
      <c r="Q14" s="76">
        <v>274975.90340399998</v>
      </c>
      <c r="R14" s="33">
        <v>3001.7489727500001</v>
      </c>
      <c r="S14" s="39">
        <f t="shared" si="6"/>
        <v>3.2971083990148531E-2</v>
      </c>
      <c r="T14" s="112">
        <f t="shared" si="7"/>
        <v>135874.14990004976</v>
      </c>
      <c r="U14" s="28">
        <f t="shared" si="8"/>
        <v>129202.34375135601</v>
      </c>
      <c r="V14" s="28" t="e">
        <f>(#REF!*$C$13)+$B$34</f>
        <v>#REF!</v>
      </c>
      <c r="W14" s="28" t="e">
        <f t="shared" si="9"/>
        <v>#REF!</v>
      </c>
      <c r="X14" s="28" t="e">
        <f t="shared" si="10"/>
        <v>#REF!</v>
      </c>
      <c r="Y14" s="28" t="e">
        <f t="shared" si="11"/>
        <v>#REF!</v>
      </c>
      <c r="Z14" s="28" t="e">
        <f t="shared" si="12"/>
        <v>#REF!</v>
      </c>
      <c r="AA14" s="16" t="e">
        <f t="shared" si="0"/>
        <v>#REF!</v>
      </c>
      <c r="AE14" s="41" t="e" cm="1">
        <f t="array" ref="AE14">_xlfn.IFS($V14&gt;$W$3,($W$3+$Y$101),$V14&lt;$X$3,($V14+$X14+$Y$101), $V14&lt;$W$3,$V14+$Y$101,$V14&gt;$X$3,$V14+$Y$101)</f>
        <v>#REF!</v>
      </c>
      <c r="AF14" s="41">
        <v>264736.67293115694</v>
      </c>
      <c r="AG14" s="41">
        <v>268122.40132023999</v>
      </c>
      <c r="AH14" s="41">
        <v>270784.07307572587</v>
      </c>
      <c r="AI14" s="41">
        <v>237062.00594010574</v>
      </c>
      <c r="AJ14" s="41">
        <v>298102.19335959374</v>
      </c>
      <c r="AK14" s="41">
        <v>280216.27705454396</v>
      </c>
      <c r="AL14" s="41">
        <v>262330.36074949423</v>
      </c>
      <c r="AM14" s="41">
        <v>253387.40259696933</v>
      </c>
      <c r="AN14" s="41"/>
      <c r="AO14" s="32" t="s">
        <v>57</v>
      </c>
      <c r="AP14" s="41">
        <f t="shared" si="13"/>
        <v>264736.67293115694</v>
      </c>
      <c r="AR14" s="41"/>
    </row>
    <row r="15" spans="1:46" ht="24" thickBot="1" x14ac:dyDescent="0.5">
      <c r="A15" s="97" t="s">
        <v>58</v>
      </c>
      <c r="B15" s="98" t="s">
        <v>59</v>
      </c>
      <c r="C15" s="56"/>
      <c r="D15" s="42" t="s">
        <v>60</v>
      </c>
      <c r="E15" s="43">
        <v>376265.34126700001</v>
      </c>
      <c r="F15" s="43">
        <v>383.88084892799998</v>
      </c>
      <c r="G15" s="43">
        <v>14292.8303084</v>
      </c>
      <c r="H15" s="43">
        <v>361588.63010900002</v>
      </c>
      <c r="I15" s="43">
        <v>0</v>
      </c>
      <c r="J15" s="44">
        <v>1667.77996007</v>
      </c>
      <c r="K15" s="35">
        <f t="shared" si="1"/>
        <v>356070.62201942207</v>
      </c>
      <c r="L15" s="36">
        <f t="shared" si="2"/>
        <v>9.5337491558145828E-3</v>
      </c>
      <c r="M15" s="45">
        <v>12598</v>
      </c>
      <c r="N15" s="38">
        <f t="shared" si="3"/>
        <v>2.2076602551408973E-3</v>
      </c>
      <c r="O15" s="38">
        <f t="shared" si="4"/>
        <v>23.26843645000708</v>
      </c>
      <c r="P15" s="38">
        <f t="shared" si="5"/>
        <v>8.1030129158821927E-3</v>
      </c>
      <c r="Q15" s="76">
        <v>3850.2281301799999</v>
      </c>
      <c r="R15" s="43">
        <v>492.21225142899999</v>
      </c>
      <c r="S15" s="39">
        <f t="shared" si="6"/>
        <v>5.4064385896925816E-3</v>
      </c>
      <c r="T15" s="112">
        <f t="shared" si="7"/>
        <v>127830.78115270281</v>
      </c>
      <c r="U15" s="28">
        <f t="shared" si="8"/>
        <v>120756.35795981325</v>
      </c>
      <c r="V15" s="28" t="e">
        <f>(#REF!*$C$13)+$B$34</f>
        <v>#REF!</v>
      </c>
      <c r="W15" s="28" t="e">
        <f t="shared" si="9"/>
        <v>#REF!</v>
      </c>
      <c r="X15" s="28" t="e">
        <f t="shared" si="10"/>
        <v>#REF!</v>
      </c>
      <c r="Y15" s="28" t="e">
        <f t="shared" si="11"/>
        <v>#REF!</v>
      </c>
      <c r="Z15" s="28" t="e">
        <f t="shared" si="12"/>
        <v>#REF!</v>
      </c>
      <c r="AA15" s="16" t="e">
        <f t="shared" si="0"/>
        <v>#REF!</v>
      </c>
      <c r="AE15" s="41" t="e" cm="1">
        <f t="array" ref="AE15">_xlfn.IFS($V15&gt;$W$3,($W$3+$Y$101),$V15&lt;$X$3,($V15+$X15+$Y$101), $V15&lt;$W$3,$V15+$Y$101,$V15&gt;$X$3,$V15+$Y$101)</f>
        <v>#REF!</v>
      </c>
      <c r="AF15" s="41">
        <v>212600.91941125979</v>
      </c>
      <c r="AG15" s="41">
        <v>215517.48189551613</v>
      </c>
      <c r="AH15" s="41">
        <v>214253.46851377815</v>
      </c>
      <c r="AI15" s="41">
        <v>199728.83920815011</v>
      </c>
      <c r="AJ15" s="41">
        <v>228385.1375034338</v>
      </c>
      <c r="AK15" s="41">
        <v>233738.23981710401</v>
      </c>
      <c r="AL15" s="41">
        <v>239091.34213077422</v>
      </c>
      <c r="AM15" s="41">
        <v>241767.89328760933</v>
      </c>
      <c r="AN15" s="41"/>
      <c r="AO15" s="42" t="s">
        <v>60</v>
      </c>
      <c r="AP15" s="41">
        <f t="shared" si="13"/>
        <v>212600.91941125979</v>
      </c>
      <c r="AR15" s="41"/>
    </row>
    <row r="16" spans="1:46" ht="18" x14ac:dyDescent="0.35">
      <c r="A16" s="79" t="s">
        <v>61</v>
      </c>
      <c r="B16" s="99">
        <v>300000</v>
      </c>
      <c r="D16" s="32" t="s">
        <v>62</v>
      </c>
      <c r="E16" s="33">
        <v>283045.01373599999</v>
      </c>
      <c r="F16" s="33">
        <v>2448.5988771900002</v>
      </c>
      <c r="G16" s="33">
        <v>19123.474692100001</v>
      </c>
      <c r="H16" s="33">
        <v>261472.94016699999</v>
      </c>
      <c r="I16" s="33">
        <v>0</v>
      </c>
      <c r="J16" s="34">
        <v>5640.9372114500002</v>
      </c>
      <c r="K16" s="35">
        <f t="shared" si="1"/>
        <v>238781.31412006007</v>
      </c>
      <c r="L16" s="36">
        <f t="shared" si="2"/>
        <v>6.3933416888075851E-3</v>
      </c>
      <c r="M16" s="37">
        <v>56621</v>
      </c>
      <c r="N16" s="38">
        <f t="shared" si="3"/>
        <v>9.9222044218393989E-3</v>
      </c>
      <c r="O16" s="38">
        <f t="shared" si="4"/>
        <v>38.399524372002325</v>
      </c>
      <c r="P16" s="38">
        <f t="shared" si="5"/>
        <v>1.3372271171661525E-2</v>
      </c>
      <c r="Q16" s="76">
        <v>17050.688835199999</v>
      </c>
      <c r="R16" s="33">
        <v>606.42582135099997</v>
      </c>
      <c r="S16" s="39">
        <f t="shared" si="6"/>
        <v>6.6609556198968228E-3</v>
      </c>
      <c r="T16" s="112">
        <f t="shared" si="7"/>
        <v>130385.4020992296</v>
      </c>
      <c r="U16" s="28">
        <f t="shared" si="8"/>
        <v>126245.32199944305</v>
      </c>
      <c r="V16" s="28" t="e">
        <f>(#REF!*$C$13)+$B$34</f>
        <v>#REF!</v>
      </c>
      <c r="W16" s="28" t="e">
        <f t="shared" si="9"/>
        <v>#REF!</v>
      </c>
      <c r="X16" s="28" t="e">
        <f t="shared" si="10"/>
        <v>#REF!</v>
      </c>
      <c r="Y16" s="28" t="e">
        <f t="shared" si="11"/>
        <v>#REF!</v>
      </c>
      <c r="Z16" s="28" t="e">
        <f t="shared" si="12"/>
        <v>#REF!</v>
      </c>
      <c r="AA16" s="16" t="e">
        <f t="shared" si="0"/>
        <v>#REF!</v>
      </c>
      <c r="AE16" s="41" t="e" cm="1">
        <f t="array" ref="AE16">_xlfn.IFS($V16&gt;$W$3,($W$3+$Y$101),$V16&lt;$X$3,($V16+$X16+$Y$101), $V16&lt;$W$3,$V16+$Y$101,$V16&gt;$X$3,$V16+$Y$101)</f>
        <v>#REF!</v>
      </c>
      <c r="AF16" s="41">
        <v>259312.75992347903</v>
      </c>
      <c r="AG16" s="41">
        <v>273317.10724814236</v>
      </c>
      <c r="AH16" s="41">
        <v>289183.00767829048</v>
      </c>
      <c r="AI16" s="41">
        <v>228985.84559995396</v>
      </c>
      <c r="AJ16" s="41">
        <v>211821.53086914949</v>
      </c>
      <c r="AK16" s="41">
        <v>222695.83539424784</v>
      </c>
      <c r="AL16" s="41">
        <v>233570.13991934614</v>
      </c>
      <c r="AM16" s="41">
        <v>239007.29218189529</v>
      </c>
      <c r="AN16" s="41"/>
      <c r="AO16" s="32" t="s">
        <v>62</v>
      </c>
      <c r="AP16" s="41">
        <f t="shared" si="13"/>
        <v>259312.75992347903</v>
      </c>
      <c r="AR16" s="41"/>
    </row>
    <row r="17" spans="1:44" ht="18.600000000000001" thickBot="1" x14ac:dyDescent="0.4">
      <c r="A17" s="79" t="s">
        <v>63</v>
      </c>
      <c r="B17" s="99">
        <v>200000</v>
      </c>
      <c r="D17" s="42" t="s">
        <v>64</v>
      </c>
      <c r="E17" s="43">
        <v>674328.59712000005</v>
      </c>
      <c r="F17" s="43">
        <v>13939.367628399999</v>
      </c>
      <c r="G17" s="43">
        <v>12862.1178979</v>
      </c>
      <c r="H17" s="43">
        <v>647527.11159300001</v>
      </c>
      <c r="I17" s="43">
        <v>0</v>
      </c>
      <c r="J17" s="44">
        <v>7376.7796955499998</v>
      </c>
      <c r="K17" s="35">
        <f t="shared" si="1"/>
        <v>634556.54967653006</v>
      </c>
      <c r="L17" s="36">
        <f t="shared" si="2"/>
        <v>1.699017721676923E-2</v>
      </c>
      <c r="M17" s="45">
        <v>65318</v>
      </c>
      <c r="N17" s="38">
        <f t="shared" si="3"/>
        <v>1.1446257544474769E-2</v>
      </c>
      <c r="O17" s="38">
        <f t="shared" si="4"/>
        <v>40.272719706580375</v>
      </c>
      <c r="P17" s="38">
        <f t="shared" si="5"/>
        <v>1.4024593729847492E-2</v>
      </c>
      <c r="Q17" s="76">
        <v>5593.7822216200002</v>
      </c>
      <c r="R17" s="43">
        <v>757.92792545299994</v>
      </c>
      <c r="S17" s="39">
        <f t="shared" si="6"/>
        <v>8.3250483353030057E-3</v>
      </c>
      <c r="T17" s="112">
        <f t="shared" si="7"/>
        <v>143884.39180260675</v>
      </c>
      <c r="U17" s="28">
        <f t="shared" si="8"/>
        <v>140790.38838015945</v>
      </c>
      <c r="V17" s="28" t="e">
        <f>(#REF!*$C$13)+$B$34</f>
        <v>#REF!</v>
      </c>
      <c r="W17" s="28" t="e">
        <f t="shared" si="9"/>
        <v>#REF!</v>
      </c>
      <c r="X17" s="28" t="e">
        <f t="shared" si="10"/>
        <v>#REF!</v>
      </c>
      <c r="Y17" s="28" t="e">
        <f t="shared" si="11"/>
        <v>#REF!</v>
      </c>
      <c r="Z17" s="28" t="e">
        <f t="shared" si="12"/>
        <v>#REF!</v>
      </c>
      <c r="AA17" s="16" t="e">
        <f t="shared" si="0"/>
        <v>#REF!</v>
      </c>
      <c r="AE17" s="41" t="e" cm="1">
        <f t="array" ref="AE17">_xlfn.IFS($V17&gt;$W$3,($W$3+$Y$101),$V17&lt;$X$3,($V17+$X17+$Y$101), $V17&lt;$W$3,$V17+$Y$101,$V17&gt;$X$3,$V17+$Y$101)</f>
        <v>#REF!</v>
      </c>
      <c r="AF17" s="41">
        <v>300083.68331914465</v>
      </c>
      <c r="AG17" s="41">
        <v>314088.03064380807</v>
      </c>
      <c r="AH17" s="41">
        <v>329953.93107395613</v>
      </c>
      <c r="AI17" s="41">
        <v>255619.69754271486</v>
      </c>
      <c r="AJ17" s="41">
        <v>272977.915962648</v>
      </c>
      <c r="AK17" s="41">
        <v>263466.7587899135</v>
      </c>
      <c r="AL17" s="41">
        <v>253955.60161717897</v>
      </c>
      <c r="AM17" s="41">
        <v>249200.02303081169</v>
      </c>
      <c r="AN17" s="41"/>
      <c r="AO17" s="42" t="s">
        <v>64</v>
      </c>
      <c r="AP17" s="41">
        <f t="shared" si="13"/>
        <v>300083.68331914465</v>
      </c>
      <c r="AR17" s="41"/>
    </row>
    <row r="18" spans="1:44" x14ac:dyDescent="0.3">
      <c r="A18" s="84" t="s">
        <v>65</v>
      </c>
      <c r="B18" s="100"/>
      <c r="D18" s="32" t="s">
        <v>66</v>
      </c>
      <c r="E18" s="33">
        <v>658826.99440299999</v>
      </c>
      <c r="F18" s="33">
        <v>526.51049630700004</v>
      </c>
      <c r="G18" s="33">
        <v>144951.70082</v>
      </c>
      <c r="H18" s="33">
        <v>513348.78308600001</v>
      </c>
      <c r="I18" s="33">
        <v>18821.5837718</v>
      </c>
      <c r="J18" s="34">
        <v>3162.6713939000001</v>
      </c>
      <c r="K18" s="35">
        <f t="shared" si="1"/>
        <v>469613.18929949298</v>
      </c>
      <c r="L18" s="36">
        <f t="shared" si="2"/>
        <v>1.2573838082039874E-2</v>
      </c>
      <c r="M18" s="37">
        <v>8524</v>
      </c>
      <c r="N18" s="38">
        <f t="shared" si="3"/>
        <v>1.4937367847929043E-3</v>
      </c>
      <c r="O18" s="38">
        <f t="shared" si="4"/>
        <v>20.427465248687103</v>
      </c>
      <c r="P18" s="38">
        <f t="shared" si="5"/>
        <v>7.1136715655338275E-3</v>
      </c>
      <c r="Q18" s="76">
        <v>21751.338621499999</v>
      </c>
      <c r="R18" s="33">
        <v>1101.1430339000001</v>
      </c>
      <c r="S18" s="39">
        <f t="shared" si="6"/>
        <v>1.2094908596778123E-2</v>
      </c>
      <c r="T18" s="112">
        <f t="shared" si="7"/>
        <v>130291.67824375512</v>
      </c>
      <c r="U18" s="28">
        <f t="shared" si="8"/>
        <v>123547.756506866</v>
      </c>
      <c r="V18" s="28" t="e">
        <f>(#REF!*$C$13)+$B$34</f>
        <v>#REF!</v>
      </c>
      <c r="W18" s="28" t="e">
        <f t="shared" si="9"/>
        <v>#REF!</v>
      </c>
      <c r="X18" s="28" t="e">
        <f t="shared" si="10"/>
        <v>#REF!</v>
      </c>
      <c r="Y18" s="28" t="e">
        <f t="shared" si="11"/>
        <v>#REF!</v>
      </c>
      <c r="Z18" s="28" t="e">
        <f t="shared" si="12"/>
        <v>#REF!</v>
      </c>
      <c r="AA18" s="16" t="e">
        <f t="shared" si="0"/>
        <v>#REF!</v>
      </c>
      <c r="AE18" s="41" t="e" cm="1">
        <f t="array" ref="AE18">_xlfn.IFS($V18&gt;$W$3,($W$3+$Y$101),$V18&lt;$X$3,($V18+$X18+$Y$101), $V18&lt;$W$3,$V18+$Y$101,$V18&gt;$X$3,$V18+$Y$101)</f>
        <v>#REF!</v>
      </c>
      <c r="AF18" s="41">
        <v>228542.01044446288</v>
      </c>
      <c r="AG18" s="41">
        <v>228054.66510204814</v>
      </c>
      <c r="AH18" s="41">
        <v>227733.79279448043</v>
      </c>
      <c r="AI18" s="41">
        <v>204784.49718421212</v>
      </c>
      <c r="AJ18" s="41">
        <v>252296.77405323842</v>
      </c>
      <c r="AK18" s="41">
        <v>249679.33085030713</v>
      </c>
      <c r="AL18" s="41">
        <v>247061.88764737578</v>
      </c>
      <c r="AM18" s="41">
        <v>245753.1660459101</v>
      </c>
      <c r="AN18" s="41"/>
      <c r="AO18" s="32" t="s">
        <v>66</v>
      </c>
      <c r="AP18" s="41">
        <f t="shared" si="13"/>
        <v>228542.01044446288</v>
      </c>
      <c r="AR18" s="41"/>
    </row>
    <row r="19" spans="1:44" x14ac:dyDescent="0.3">
      <c r="A19" s="79"/>
      <c r="B19" s="89" t="s">
        <v>67</v>
      </c>
      <c r="C19" s="105" t="s">
        <v>68</v>
      </c>
      <c r="D19" s="42" t="s">
        <v>69</v>
      </c>
      <c r="E19" s="43">
        <v>1027593.15024</v>
      </c>
      <c r="F19" s="43">
        <v>660311.44432100002</v>
      </c>
      <c r="G19" s="43">
        <v>149102.81144200001</v>
      </c>
      <c r="H19" s="43">
        <v>218178.89447500001</v>
      </c>
      <c r="I19" s="43">
        <v>44446.213413799996</v>
      </c>
      <c r="J19" s="44">
        <v>1775.7222707400001</v>
      </c>
      <c r="K19" s="35">
        <f t="shared" si="1"/>
        <v>74223.393374959982</v>
      </c>
      <c r="L19" s="36">
        <f t="shared" si="2"/>
        <v>1.987322655031115E-3</v>
      </c>
      <c r="M19" s="45">
        <v>5600</v>
      </c>
      <c r="N19" s="38">
        <f t="shared" si="3"/>
        <v>9.8133810357112434E-4</v>
      </c>
      <c r="O19" s="38">
        <f t="shared" si="4"/>
        <v>17.758080034852018</v>
      </c>
      <c r="P19" s="38">
        <f t="shared" si="5"/>
        <v>6.1840834124302245E-3</v>
      </c>
      <c r="Q19" s="76">
        <v>97733.565417499995</v>
      </c>
      <c r="R19" s="43">
        <v>3554.6929706400001</v>
      </c>
      <c r="S19" s="39">
        <f t="shared" si="6"/>
        <v>3.904459751902218E-2</v>
      </c>
      <c r="T19" s="112">
        <f t="shared" si="7"/>
        <v>116472.35394762029</v>
      </c>
      <c r="U19" s="28">
        <f t="shared" si="8"/>
        <v>110229.05957698936</v>
      </c>
      <c r="V19" s="28" t="e">
        <f>(#REF!*$C$13)+$B$34</f>
        <v>#REF!</v>
      </c>
      <c r="W19" s="28" t="e">
        <f t="shared" si="9"/>
        <v>#REF!</v>
      </c>
      <c r="X19" s="28" t="e">
        <f t="shared" si="10"/>
        <v>#REF!</v>
      </c>
      <c r="Y19" s="28" t="e">
        <f t="shared" si="11"/>
        <v>#REF!</v>
      </c>
      <c r="Z19" s="28" t="e">
        <f t="shared" si="12"/>
        <v>#REF!</v>
      </c>
      <c r="AA19" s="16" t="e">
        <f t="shared" si="0"/>
        <v>#REF!</v>
      </c>
      <c r="AE19" s="41" t="e" cm="1">
        <f t="array" ref="AE19">_xlfn.IFS($V19&gt;$W$3,($W$3+$Y$101),$V19&lt;$X$3,($V19+$X19+$Y$101), $V19&lt;$W$3,$V19+$Y$101,$V19&gt;$X$3,$V19+$Y$101)</f>
        <v>#REF!</v>
      </c>
      <c r="AF19" s="41">
        <v>197375.65479937778</v>
      </c>
      <c r="AG19" s="41">
        <v>196888.30945696303</v>
      </c>
      <c r="AH19" s="41">
        <v>196567.43714939532</v>
      </c>
      <c r="AI19" s="41">
        <v>186920.1365443047</v>
      </c>
      <c r="AJ19" s="41">
        <v>205547.24058561074</v>
      </c>
      <c r="AK19" s="41">
        <v>218512.975205222</v>
      </c>
      <c r="AL19" s="41">
        <v>231478.7098248332</v>
      </c>
      <c r="AM19" s="41">
        <v>237961.57713463882</v>
      </c>
      <c r="AN19" s="41"/>
      <c r="AO19" s="42" t="s">
        <v>69</v>
      </c>
      <c r="AP19" s="41">
        <f t="shared" si="13"/>
        <v>197375.65479937778</v>
      </c>
      <c r="AR19" s="41"/>
    </row>
    <row r="20" spans="1:44" x14ac:dyDescent="0.3">
      <c r="A20" s="89" t="s">
        <v>70</v>
      </c>
      <c r="B20" s="101">
        <f>_xlfn.PERCENTILE.INC($M$4:$M$93,0.3333)</f>
        <v>14040.4501</v>
      </c>
      <c r="C20" s="106">
        <f>($C$10*C63)/30</f>
        <v>1803.8858392364989</v>
      </c>
      <c r="D20" s="57" t="s">
        <v>71</v>
      </c>
      <c r="E20" s="33">
        <v>415028.124243</v>
      </c>
      <c r="F20" s="33">
        <v>3453.6909940199998</v>
      </c>
      <c r="G20" s="33">
        <v>9646.6646464299993</v>
      </c>
      <c r="H20" s="33">
        <v>401927.76860299997</v>
      </c>
      <c r="I20" s="33">
        <v>0</v>
      </c>
      <c r="J20" s="34">
        <v>1534.9597279300001</v>
      </c>
      <c r="K20" s="35">
        <f t="shared" si="1"/>
        <v>393185.99153418996</v>
      </c>
      <c r="L20" s="36">
        <f t="shared" si="2"/>
        <v>1.052750882285014E-2</v>
      </c>
      <c r="M20" s="37">
        <v>11517</v>
      </c>
      <c r="N20" s="38">
        <f t="shared" si="3"/>
        <v>2.0182269533622569E-3</v>
      </c>
      <c r="O20" s="38">
        <f t="shared" si="4"/>
        <v>22.582904031211637</v>
      </c>
      <c r="P20" s="38">
        <f t="shared" si="5"/>
        <v>7.864282734948453E-3</v>
      </c>
      <c r="Q20" s="76">
        <v>7206.8173404299996</v>
      </c>
      <c r="R20" s="33">
        <v>596.66749734699999</v>
      </c>
      <c r="S20" s="39">
        <f t="shared" si="6"/>
        <v>6.5537706010095819E-3</v>
      </c>
      <c r="T20" s="112">
        <f t="shared" si="7"/>
        <v>128736.81653602498</v>
      </c>
      <c r="U20" s="28">
        <f t="shared" si="8"/>
        <v>121721.54959812155</v>
      </c>
      <c r="V20" s="28" t="e">
        <f>(#REF!*$C$13)+$B$34</f>
        <v>#REF!</v>
      </c>
      <c r="W20" s="28" t="e">
        <f t="shared" si="9"/>
        <v>#REF!</v>
      </c>
      <c r="X20" s="28" t="e">
        <f t="shared" si="10"/>
        <v>#REF!</v>
      </c>
      <c r="Y20" s="28" t="e">
        <f t="shared" si="11"/>
        <v>#REF!</v>
      </c>
      <c r="Z20" s="28" t="e">
        <f t="shared" si="12"/>
        <v>#REF!</v>
      </c>
      <c r="AA20" s="16" t="e">
        <f t="shared" si="0"/>
        <v>#REF!</v>
      </c>
      <c r="AE20" s="41" t="e" cm="1">
        <f t="array" ref="AE20">_xlfn.IFS($V20&gt;$W$3,($W$3+$Y$101),$V20&lt;$X$3,($V20+$X20+$Y$101), $V20&lt;$W$3,$V20+$Y$101,$V20&gt;$X$3,$V20+$Y$101)</f>
        <v>#REF!</v>
      </c>
      <c r="AF20" s="41">
        <v>216894.44122529603</v>
      </c>
      <c r="AG20" s="41">
        <v>219811.00370955237</v>
      </c>
      <c r="AH20" s="41">
        <v>218546.99032781439</v>
      </c>
      <c r="AI20" s="41">
        <v>201268.10702287912</v>
      </c>
      <c r="AJ20" s="41">
        <v>234825.42022448813</v>
      </c>
      <c r="AK20" s="41">
        <v>238031.76163114025</v>
      </c>
      <c r="AL20" s="41">
        <v>241238.10303779235</v>
      </c>
      <c r="AM20" s="41">
        <v>242841.27374111838</v>
      </c>
      <c r="AN20" s="41"/>
      <c r="AO20" s="57" t="s">
        <v>71</v>
      </c>
      <c r="AP20" s="41">
        <f t="shared" si="13"/>
        <v>216894.44122529603</v>
      </c>
      <c r="AR20" s="41"/>
    </row>
    <row r="21" spans="1:44" x14ac:dyDescent="0.3">
      <c r="A21" s="89" t="s">
        <v>72</v>
      </c>
      <c r="B21" s="101">
        <f>_xlfn.PERCENTILE.INC($M$4:$M$93,0.6666)</f>
        <v>35518.257599999997</v>
      </c>
      <c r="C21" s="106">
        <f t="shared" ref="C21:C22" si="15">($C$10*C64)/30</f>
        <v>4889.9129023949654</v>
      </c>
      <c r="D21" s="58" t="s">
        <v>73</v>
      </c>
      <c r="E21" s="43">
        <v>739773.16144199995</v>
      </c>
      <c r="F21" s="43">
        <v>473.36511765300003</v>
      </c>
      <c r="G21" s="43">
        <v>139868.50947600001</v>
      </c>
      <c r="H21" s="43">
        <v>599431.28684900003</v>
      </c>
      <c r="I21" s="43">
        <v>452.491002821</v>
      </c>
      <c r="J21" s="44">
        <v>10528.933608900001</v>
      </c>
      <c r="K21" s="35">
        <f t="shared" si="1"/>
        <v>482106.53748162597</v>
      </c>
      <c r="L21" s="36">
        <f t="shared" si="2"/>
        <v>1.290834601478983E-2</v>
      </c>
      <c r="M21" s="45">
        <v>66123</v>
      </c>
      <c r="N21" s="38">
        <f t="shared" si="3"/>
        <v>1.1587324896863118E-2</v>
      </c>
      <c r="O21" s="38">
        <f t="shared" si="4"/>
        <v>40.437489299876844</v>
      </c>
      <c r="P21" s="38">
        <f t="shared" si="5"/>
        <v>1.4081973182287044E-2</v>
      </c>
      <c r="Q21" s="76">
        <v>106343.32475499999</v>
      </c>
      <c r="R21" s="43">
        <v>2114.93320649</v>
      </c>
      <c r="S21" s="39">
        <f t="shared" si="6"/>
        <v>2.3230337052752452E-2</v>
      </c>
      <c r="T21" s="112">
        <f t="shared" si="7"/>
        <v>139055.0497031589</v>
      </c>
      <c r="U21" s="28">
        <f t="shared" si="8"/>
        <v>136061.47176065022</v>
      </c>
      <c r="V21" s="28" t="e">
        <f>(#REF!*$C$13)+$B$34</f>
        <v>#REF!</v>
      </c>
      <c r="W21" s="28" t="e">
        <f t="shared" si="9"/>
        <v>#REF!</v>
      </c>
      <c r="X21" s="28" t="e">
        <f t="shared" si="10"/>
        <v>#REF!</v>
      </c>
      <c r="Y21" s="28" t="e">
        <f t="shared" si="11"/>
        <v>#REF!</v>
      </c>
      <c r="Z21" s="28" t="e">
        <f t="shared" si="12"/>
        <v>#REF!</v>
      </c>
      <c r="AA21" s="16" t="e">
        <f t="shared" si="0"/>
        <v>#REF!</v>
      </c>
      <c r="AE21" s="41" t="e" cm="1">
        <f t="array" ref="AE21">_xlfn.IFS($V21&gt;$W$3,($W$3+$Y$101),$V21&lt;$X$3,($V21+$X21+$Y$101), $V21&lt;$W$3,$V21+$Y$101,$V21&gt;$X$3,$V21+$Y$101)</f>
        <v>#REF!</v>
      </c>
      <c r="AF21" s="41">
        <v>294646.97303310683</v>
      </c>
      <c r="AG21" s="41">
        <v>308651.32035777019</v>
      </c>
      <c r="AH21" s="41">
        <v>324517.22078791831</v>
      </c>
      <c r="AI21" s="41">
        <v>254208.84022269386</v>
      </c>
      <c r="AJ21" s="41">
        <v>264822.85053359123</v>
      </c>
      <c r="AK21" s="41">
        <v>258030.04850387565</v>
      </c>
      <c r="AL21" s="41">
        <v>251237.24647416003</v>
      </c>
      <c r="AM21" s="41">
        <v>247840.84545930225</v>
      </c>
      <c r="AN21" s="41"/>
      <c r="AO21" s="58" t="s">
        <v>73</v>
      </c>
      <c r="AP21" s="41">
        <f t="shared" si="13"/>
        <v>294646.97303310683</v>
      </c>
      <c r="AR21" s="41"/>
    </row>
    <row r="22" spans="1:44" x14ac:dyDescent="0.3">
      <c r="A22" s="89" t="s">
        <v>74</v>
      </c>
      <c r="B22" s="101"/>
      <c r="C22" s="106">
        <f t="shared" si="15"/>
        <v>33306.201258368535</v>
      </c>
      <c r="D22" s="57" t="s">
        <v>75</v>
      </c>
      <c r="E22" s="33">
        <v>374993.135694</v>
      </c>
      <c r="F22" s="33">
        <v>771.48586276100002</v>
      </c>
      <c r="G22" s="33">
        <v>18818.657893399999</v>
      </c>
      <c r="H22" s="33">
        <v>355402.99193700001</v>
      </c>
      <c r="I22" s="33">
        <v>0</v>
      </c>
      <c r="J22" s="34">
        <v>20927.889588999999</v>
      </c>
      <c r="K22" s="35">
        <f t="shared" si="1"/>
        <v>323756.62339143897</v>
      </c>
      <c r="L22" s="36">
        <f t="shared" si="2"/>
        <v>8.6685456313190298E-3</v>
      </c>
      <c r="M22" s="37">
        <v>439882</v>
      </c>
      <c r="N22" s="38">
        <f t="shared" si="3"/>
        <v>7.7084458513405951E-2</v>
      </c>
      <c r="O22" s="38">
        <f t="shared" si="4"/>
        <v>76.052249389292427</v>
      </c>
      <c r="P22" s="38">
        <f t="shared" si="5"/>
        <v>2.6484476531432034E-2</v>
      </c>
      <c r="Q22" s="76">
        <v>10718.478957400001</v>
      </c>
      <c r="R22" s="33">
        <v>656.956311379</v>
      </c>
      <c r="S22" s="39">
        <f t="shared" si="6"/>
        <v>7.2159803890900417E-3</v>
      </c>
      <c r="T22" s="112">
        <f t="shared" si="7"/>
        <v>148850.29326196795</v>
      </c>
      <c r="U22" s="28">
        <f t="shared" si="8"/>
        <v>209570.27164033666</v>
      </c>
      <c r="V22" s="28" t="e">
        <f>(#REF!*$C$13)+$B$34</f>
        <v>#REF!</v>
      </c>
      <c r="W22" s="28" t="e">
        <f t="shared" si="9"/>
        <v>#REF!</v>
      </c>
      <c r="X22" s="28" t="e">
        <f t="shared" si="10"/>
        <v>#REF!</v>
      </c>
      <c r="Y22" s="28" t="e">
        <f t="shared" si="11"/>
        <v>#REF!</v>
      </c>
      <c r="Z22" s="28" t="e">
        <f t="shared" si="12"/>
        <v>#REF!</v>
      </c>
      <c r="AA22" s="16" t="e">
        <f t="shared" si="0"/>
        <v>#REF!</v>
      </c>
      <c r="AE22" s="41" t="e" cm="1">
        <f t="array" ref="AE22">_xlfn.IFS($V22&gt;$W$3,($W$3+$Y$101),$V22&lt;$X$3,($V22+$X22+$Y$101), $V22&lt;$W$3,$V22+$Y$101,$V22&gt;$X$3,$V22+$Y$101)</f>
        <v>#REF!</v>
      </c>
      <c r="AF22" s="41">
        <v>269874.80711704888</v>
      </c>
      <c r="AG22" s="41">
        <v>283879.15444171231</v>
      </c>
      <c r="AH22" s="41">
        <v>299745.05487186037</v>
      </c>
      <c r="AI22" s="41">
        <v>530742.7714918335</v>
      </c>
      <c r="AJ22" s="41">
        <v>227664.60165950435</v>
      </c>
      <c r="AK22" s="41">
        <v>233257.88258781773</v>
      </c>
      <c r="AL22" s="41">
        <v>238851.16351613108</v>
      </c>
      <c r="AM22" s="41">
        <v>241647.80398028775</v>
      </c>
      <c r="AN22" s="41"/>
      <c r="AO22" s="57" t="s">
        <v>75</v>
      </c>
      <c r="AP22" s="41">
        <f t="shared" si="13"/>
        <v>269874.80711704888</v>
      </c>
      <c r="AR22" s="41"/>
    </row>
    <row r="23" spans="1:44" x14ac:dyDescent="0.3">
      <c r="A23" s="89"/>
      <c r="B23" s="101"/>
      <c r="C23" s="106"/>
      <c r="D23" s="58" t="s">
        <v>76</v>
      </c>
      <c r="E23" s="43">
        <v>281161.25852700003</v>
      </c>
      <c r="F23" s="43">
        <v>0</v>
      </c>
      <c r="G23" s="43">
        <v>1736.7554483700001</v>
      </c>
      <c r="H23" s="43">
        <v>279424.50307799998</v>
      </c>
      <c r="I23" s="43">
        <v>0</v>
      </c>
      <c r="J23" s="44">
        <v>894.29753014999994</v>
      </c>
      <c r="K23" s="35">
        <f t="shared" si="1"/>
        <v>278447.98397569422</v>
      </c>
      <c r="L23" s="36">
        <f t="shared" si="2"/>
        <v>7.4554121233336339E-3</v>
      </c>
      <c r="M23" s="45">
        <v>20867</v>
      </c>
      <c r="N23" s="38">
        <f t="shared" si="3"/>
        <v>3.6567111084319023E-3</v>
      </c>
      <c r="O23" s="38">
        <f t="shared" si="4"/>
        <v>27.530874415045947</v>
      </c>
      <c r="P23" s="38">
        <f t="shared" si="5"/>
        <v>9.5873666221599537E-3</v>
      </c>
      <c r="Q23" s="76">
        <v>82.221572785800006</v>
      </c>
      <c r="R23" s="43">
        <v>261.13021242299999</v>
      </c>
      <c r="S23" s="39">
        <f t="shared" si="6"/>
        <v>2.8682432289720717E-3</v>
      </c>
      <c r="T23" s="112">
        <f t="shared" si="7"/>
        <v>127118.00116125897</v>
      </c>
      <c r="U23" s="28">
        <f t="shared" si="8"/>
        <v>120001.21454478531</v>
      </c>
      <c r="V23" s="28" t="e">
        <f>(#REF!*$C$13)+$B$34</f>
        <v>#REF!</v>
      </c>
      <c r="W23" s="28" t="e">
        <f t="shared" si="9"/>
        <v>#REF!</v>
      </c>
      <c r="X23" s="28" t="e">
        <f t="shared" si="10"/>
        <v>#REF!</v>
      </c>
      <c r="Y23" s="28" t="e">
        <f t="shared" si="11"/>
        <v>#REF!</v>
      </c>
      <c r="Z23" s="28" t="e">
        <f t="shared" si="12"/>
        <v>#REF!</v>
      </c>
      <c r="AA23" s="16" t="e">
        <f t="shared" si="0"/>
        <v>#REF!</v>
      </c>
      <c r="AE23" s="41" t="e" cm="1">
        <f t="array" ref="AE23">_xlfn.IFS($V23&gt;$W$3,($W$3+$Y$101),$V23&lt;$X$3,($V23+$X23+$Y$101), $V23&lt;$W$3,$V23+$Y$101,$V23&gt;$X$3,$V23+$Y$101)</f>
        <v>#REF!</v>
      </c>
      <c r="AF23" s="41">
        <v>209624.20041897029</v>
      </c>
      <c r="AG23" s="41">
        <v>206883.04662076943</v>
      </c>
      <c r="AH23" s="41">
        <v>209479.14559628523</v>
      </c>
      <c r="AI23" s="41">
        <v>202024.66185714235</v>
      </c>
      <c r="AJ23" s="41">
        <v>215433.48459131373</v>
      </c>
      <c r="AK23" s="41">
        <v>225103.80454235731</v>
      </c>
      <c r="AL23" s="41">
        <v>234774.12449340089</v>
      </c>
      <c r="AM23" s="41">
        <v>239609.28446892265</v>
      </c>
      <c r="AN23" s="41"/>
      <c r="AO23" s="58" t="s">
        <v>76</v>
      </c>
      <c r="AP23" s="41">
        <f t="shared" si="13"/>
        <v>209624.20041897029</v>
      </c>
      <c r="AR23" s="41"/>
    </row>
    <row r="24" spans="1:44" x14ac:dyDescent="0.3">
      <c r="A24" s="89"/>
      <c r="B24" s="89"/>
      <c r="C24" s="106"/>
      <c r="D24" s="57" t="s">
        <v>77</v>
      </c>
      <c r="E24" s="33">
        <v>460981.87797799997</v>
      </c>
      <c r="F24" s="33">
        <v>11485.263692299999</v>
      </c>
      <c r="G24" s="33">
        <v>8368.9523228599992</v>
      </c>
      <c r="H24" s="33">
        <v>441127.66196300002</v>
      </c>
      <c r="I24" s="33">
        <v>0</v>
      </c>
      <c r="J24" s="34">
        <v>2675.8737541599999</v>
      </c>
      <c r="K24" s="35">
        <f t="shared" si="1"/>
        <v>377289.60438657994</v>
      </c>
      <c r="L24" s="36">
        <f t="shared" si="2"/>
        <v>1.0101884920800837E-2</v>
      </c>
      <c r="M24" s="37">
        <v>39006</v>
      </c>
      <c r="N24" s="38">
        <f t="shared" si="3"/>
        <v>6.835370369267014E-3</v>
      </c>
      <c r="O24" s="38">
        <f t="shared" si="4"/>
        <v>33.913853423756834</v>
      </c>
      <c r="P24" s="38">
        <f t="shared" si="5"/>
        <v>1.1810178690367205E-2</v>
      </c>
      <c r="Q24" s="76">
        <v>61162.1838221</v>
      </c>
      <c r="R24" s="33">
        <v>1469.1209127899999</v>
      </c>
      <c r="S24" s="39">
        <f t="shared" si="6"/>
        <v>1.6136762083375236E-2</v>
      </c>
      <c r="T24" s="112">
        <f t="shared" si="7"/>
        <v>132961.14300006832</v>
      </c>
      <c r="U24" s="28">
        <f t="shared" si="8"/>
        <v>126991.3730147481</v>
      </c>
      <c r="V24" s="28" t="e">
        <f>(#REF!*$C$13)+$B$34</f>
        <v>#REF!</v>
      </c>
      <c r="W24" s="28" t="e">
        <f t="shared" si="9"/>
        <v>#REF!</v>
      </c>
      <c r="X24" s="28" t="e">
        <f t="shared" si="10"/>
        <v>#REF!</v>
      </c>
      <c r="Y24" s="28" t="e">
        <f t="shared" si="11"/>
        <v>#REF!</v>
      </c>
      <c r="Z24" s="28" t="e">
        <f t="shared" si="12"/>
        <v>#REF!</v>
      </c>
      <c r="AA24" s="16" t="e">
        <f t="shared" si="0"/>
        <v>#REF!</v>
      </c>
      <c r="AE24" s="41" t="e" cm="1">
        <f t="array" ref="AE24">_xlfn.IFS($V24&gt;$W$3,($W$3+$Y$101),$V24&lt;$X$3,($V24+$X24+$Y$101), $V24&lt;$W$3,$V24+$Y$101,$V24&gt;$X$3,$V24+$Y$101)</f>
        <v>#REF!</v>
      </c>
      <c r="AF24" s="41">
        <v>278686.22383184888</v>
      </c>
      <c r="AG24" s="41">
        <v>229975.42356831371</v>
      </c>
      <c r="AH24" s="41">
        <v>232637.09532379959</v>
      </c>
      <c r="AI24" s="41">
        <v>224617.74688723159</v>
      </c>
      <c r="AJ24" s="41">
        <v>240881.72673170432</v>
      </c>
      <c r="AK24" s="41">
        <v>242069.2993026177</v>
      </c>
      <c r="AL24" s="41">
        <v>243256.87187353105</v>
      </c>
      <c r="AM24" s="41">
        <v>243850.65815898776</v>
      </c>
      <c r="AN24" s="41"/>
      <c r="AO24" s="57" t="s">
        <v>77</v>
      </c>
      <c r="AP24" s="41">
        <f t="shared" si="13"/>
        <v>278686.22383184888</v>
      </c>
      <c r="AR24" s="41"/>
    </row>
    <row r="25" spans="1:44" ht="15" thickBot="1" x14ac:dyDescent="0.35">
      <c r="A25" s="79"/>
      <c r="B25" s="79"/>
      <c r="C25" s="79"/>
      <c r="D25" s="58" t="s">
        <v>78</v>
      </c>
      <c r="E25" s="43">
        <v>461735.76986499998</v>
      </c>
      <c r="F25" s="43">
        <v>1015.50377324</v>
      </c>
      <c r="G25" s="43">
        <v>5259.9919886600001</v>
      </c>
      <c r="H25" s="43">
        <v>455460.274103</v>
      </c>
      <c r="I25" s="43">
        <v>0</v>
      </c>
      <c r="J25" s="44">
        <v>2501.7672998200001</v>
      </c>
      <c r="K25" s="35">
        <f t="shared" si="1"/>
        <v>447033.65704288991</v>
      </c>
      <c r="L25" s="36">
        <f t="shared" si="2"/>
        <v>1.1969273753286193E-2</v>
      </c>
      <c r="M25" s="45">
        <v>13921</v>
      </c>
      <c r="N25" s="38">
        <f t="shared" si="3"/>
        <v>2.4395013821095755E-3</v>
      </c>
      <c r="O25" s="38">
        <f t="shared" si="4"/>
        <v>24.05600347472814</v>
      </c>
      <c r="P25" s="38">
        <f t="shared" si="5"/>
        <v>8.3772756832644728E-3</v>
      </c>
      <c r="Q25" s="76">
        <v>5924.8497603899996</v>
      </c>
      <c r="R25" s="43">
        <v>548.64988740900003</v>
      </c>
      <c r="S25" s="39">
        <f t="shared" si="6"/>
        <v>6.0263472006372399E-3</v>
      </c>
      <c r="T25" s="112">
        <f t="shared" si="7"/>
        <v>131082.52599052747</v>
      </c>
      <c r="U25" s="28">
        <f t="shared" si="8"/>
        <v>123957.1968291416</v>
      </c>
      <c r="V25" s="28" t="e">
        <f>(#REF!*$C$13)+$B$34</f>
        <v>#REF!</v>
      </c>
      <c r="W25" s="28" t="e">
        <f t="shared" si="9"/>
        <v>#REF!</v>
      </c>
      <c r="X25" s="28" t="e">
        <f t="shared" si="10"/>
        <v>#REF!</v>
      </c>
      <c r="Y25" s="28" t="e">
        <f t="shared" si="11"/>
        <v>#REF!</v>
      </c>
      <c r="Z25" s="28" t="e">
        <f t="shared" si="12"/>
        <v>#REF!</v>
      </c>
      <c r="AA25" s="16" t="e">
        <f t="shared" si="0"/>
        <v>#REF!</v>
      </c>
      <c r="AE25" s="41" t="e" cm="1">
        <f t="array" ref="AE25">_xlfn.IFS($V25&gt;$W$3,($W$3+$Y$101),$V25&lt;$X$3,($V25+$X25+$Y$101), $V25&lt;$W$3,$V25+$Y$101,$V25&gt;$X$3,$V25+$Y$101)</f>
        <v>#REF!</v>
      </c>
      <c r="AF25" s="41">
        <v>222470.94352063039</v>
      </c>
      <c r="AG25" s="41">
        <v>225387.50600488673</v>
      </c>
      <c r="AH25" s="41">
        <v>224123.49262314875</v>
      </c>
      <c r="AI25" s="41">
        <v>205860.33511972972</v>
      </c>
      <c r="AJ25" s="41">
        <v>243190.17366748967</v>
      </c>
      <c r="AK25" s="41">
        <v>243608.26392647461</v>
      </c>
      <c r="AL25" s="41">
        <v>244026.35418545952</v>
      </c>
      <c r="AM25" s="41">
        <v>244235.399314952</v>
      </c>
      <c r="AN25" s="41"/>
      <c r="AO25" s="58" t="s">
        <v>78</v>
      </c>
      <c r="AP25" s="41">
        <f t="shared" si="13"/>
        <v>222470.94352063039</v>
      </c>
      <c r="AR25" s="41"/>
    </row>
    <row r="26" spans="1:44" x14ac:dyDescent="0.3">
      <c r="A26" s="84" t="s">
        <v>79</v>
      </c>
      <c r="B26" s="102"/>
      <c r="C26" s="107" t="s">
        <v>68</v>
      </c>
      <c r="D26" s="32" t="s">
        <v>80</v>
      </c>
      <c r="E26" s="33">
        <v>551430.30015999998</v>
      </c>
      <c r="F26" s="33">
        <v>0</v>
      </c>
      <c r="G26" s="33">
        <v>18814.085064499999</v>
      </c>
      <c r="H26" s="33">
        <v>532616.215096</v>
      </c>
      <c r="I26" s="33">
        <v>0</v>
      </c>
      <c r="J26" s="34">
        <v>2166.1704418200002</v>
      </c>
      <c r="K26" s="35">
        <f t="shared" si="1"/>
        <v>530448.50803826575</v>
      </c>
      <c r="L26" s="36">
        <f t="shared" si="2"/>
        <v>1.4202696608419088E-2</v>
      </c>
      <c r="M26" s="37">
        <v>21228</v>
      </c>
      <c r="N26" s="38">
        <f t="shared" si="3"/>
        <v>3.7199723683228264E-3</v>
      </c>
      <c r="O26" s="38">
        <f t="shared" si="4"/>
        <v>27.688729357198977</v>
      </c>
      <c r="P26" s="38">
        <f t="shared" si="5"/>
        <v>9.6423381127390493E-3</v>
      </c>
      <c r="Q26" s="76">
        <v>1.5366154142099999</v>
      </c>
      <c r="R26" s="33">
        <v>638.752873464</v>
      </c>
      <c r="S26" s="39">
        <f t="shared" si="6"/>
        <v>7.0160345955365367E-3</v>
      </c>
      <c r="T26" s="112">
        <f t="shared" si="7"/>
        <v>135280.70833205644</v>
      </c>
      <c r="U26" s="28">
        <f t="shared" si="8"/>
        <v>128173.86943875697</v>
      </c>
      <c r="V26" s="28" t="e">
        <f>(#REF!*$C$13)+$B$34</f>
        <v>#REF!</v>
      </c>
      <c r="W26" s="28" t="e">
        <f t="shared" si="9"/>
        <v>#REF!</v>
      </c>
      <c r="X26" s="28" t="e">
        <f t="shared" si="10"/>
        <v>#REF!</v>
      </c>
      <c r="Y26" s="28" t="e">
        <f t="shared" si="11"/>
        <v>#REF!</v>
      </c>
      <c r="Z26" s="28" t="e">
        <f t="shared" si="12"/>
        <v>#REF!</v>
      </c>
      <c r="AA26" s="16" t="e">
        <f t="shared" si="0"/>
        <v>#REF!</v>
      </c>
      <c r="AE26" s="41" t="e" cm="1">
        <f t="array" ref="AE26">_xlfn.IFS($V26&gt;$W$3,($W$3+$Y$101),$V26&lt;$X$3,($V26+$X26+$Y$101), $V26&lt;$W$3,$V26+$Y$101,$V26&gt;$X$3,$V26+$Y$101)</f>
        <v>#REF!</v>
      </c>
      <c r="AF26" s="41">
        <v>236349.45312876964</v>
      </c>
      <c r="AG26" s="41">
        <v>233608.29933056879</v>
      </c>
      <c r="AH26" s="41">
        <v>236204.39830608459</v>
      </c>
      <c r="AI26" s="41">
        <v>215646.32079961707</v>
      </c>
      <c r="AJ26" s="41">
        <v>255521.36365601275</v>
      </c>
      <c r="AK26" s="41">
        <v>251829.05725215666</v>
      </c>
      <c r="AL26" s="41">
        <v>248136.75084830055</v>
      </c>
      <c r="AM26" s="41">
        <v>246290.59764637251</v>
      </c>
      <c r="AN26" s="41"/>
      <c r="AO26" s="32" t="s">
        <v>80</v>
      </c>
      <c r="AP26" s="41">
        <f t="shared" si="13"/>
        <v>236349.45312876964</v>
      </c>
      <c r="AR26" s="41"/>
    </row>
    <row r="27" spans="1:44" x14ac:dyDescent="0.3">
      <c r="A27" s="86" t="s">
        <v>81</v>
      </c>
      <c r="B27" s="103">
        <v>0.9</v>
      </c>
      <c r="C27" s="108">
        <v>30000</v>
      </c>
      <c r="D27" s="42" t="s">
        <v>82</v>
      </c>
      <c r="E27" s="43">
        <v>461958.676714</v>
      </c>
      <c r="F27" s="43">
        <v>2289.2343516400001</v>
      </c>
      <c r="G27" s="43">
        <v>4885.28834198</v>
      </c>
      <c r="H27" s="43">
        <v>454784.15402000002</v>
      </c>
      <c r="I27" s="43">
        <v>0</v>
      </c>
      <c r="J27" s="44">
        <v>2607.1759016400001</v>
      </c>
      <c r="K27" s="35">
        <f t="shared" si="1"/>
        <v>439114.05050234002</v>
      </c>
      <c r="L27" s="36">
        <f t="shared" si="2"/>
        <v>1.1757227216725159E-2</v>
      </c>
      <c r="M27" s="45">
        <v>30895</v>
      </c>
      <c r="N27" s="38">
        <f t="shared" si="3"/>
        <v>5.4140072696124801E-3</v>
      </c>
      <c r="O27" s="38">
        <f t="shared" si="4"/>
        <v>31.378299203864437</v>
      </c>
      <c r="P27" s="38">
        <f t="shared" si="5"/>
        <v>1.0927195915102069E-2</v>
      </c>
      <c r="Q27" s="76">
        <v>13062.9276164</v>
      </c>
      <c r="R27" s="43">
        <v>385.54900409999999</v>
      </c>
      <c r="S27" s="39">
        <f t="shared" si="6"/>
        <v>4.2348539840936037E-3</v>
      </c>
      <c r="T27" s="112">
        <f t="shared" si="7"/>
        <v>133887.97442485933</v>
      </c>
      <c r="U27" s="28">
        <f t="shared" si="8"/>
        <v>127272.14805027185</v>
      </c>
      <c r="V27" s="28" t="e">
        <f>(#REF!*$C$13)+$B$34</f>
        <v>#REF!</v>
      </c>
      <c r="W27" s="28" t="e">
        <f t="shared" si="9"/>
        <v>#REF!</v>
      </c>
      <c r="X27" s="28" t="e">
        <f t="shared" si="10"/>
        <v>#REF!</v>
      </c>
      <c r="Y27" s="28" t="e">
        <f t="shared" si="11"/>
        <v>#REF!</v>
      </c>
      <c r="Z27" s="28" t="e">
        <f t="shared" si="12"/>
        <v>#REF!</v>
      </c>
      <c r="AA27" s="16" t="e">
        <f t="shared" si="0"/>
        <v>#REF!</v>
      </c>
      <c r="AE27" s="41" t="e" cm="1">
        <f t="array" ref="AE27">_xlfn.IFS($V27&gt;$W$3,($W$3+$Y$101),$V27&lt;$X$3,($V27+$X27+$Y$101), $V27&lt;$W$3,$V27+$Y$101,$V27&gt;$X$3,$V27+$Y$101)</f>
        <v>#REF!</v>
      </c>
      <c r="AF27" s="41">
        <v>228045.75028842423</v>
      </c>
      <c r="AG27" s="41">
        <v>231431.47867750726</v>
      </c>
      <c r="AH27" s="41">
        <v>234093.15043299313</v>
      </c>
      <c r="AI27" s="41">
        <v>218801.3469539574</v>
      </c>
      <c r="AJ27" s="41">
        <v>243065.80939549464</v>
      </c>
      <c r="AK27" s="41">
        <v>243525.35441181125</v>
      </c>
      <c r="AL27" s="41">
        <v>243984.89942812786</v>
      </c>
      <c r="AM27" s="41">
        <v>244214.67193628615</v>
      </c>
      <c r="AN27" s="41"/>
      <c r="AO27" s="42" t="s">
        <v>82</v>
      </c>
      <c r="AP27" s="41">
        <f t="shared" si="13"/>
        <v>228045.75028842423</v>
      </c>
      <c r="AR27" s="41"/>
    </row>
    <row r="28" spans="1:44" x14ac:dyDescent="0.3">
      <c r="A28" s="86"/>
      <c r="B28" s="103">
        <v>0.45</v>
      </c>
      <c r="C28" s="108">
        <v>25000</v>
      </c>
      <c r="D28" s="32" t="s">
        <v>83</v>
      </c>
      <c r="E28" s="33">
        <v>499153.518086</v>
      </c>
      <c r="F28" s="33">
        <v>3757.4170141999998</v>
      </c>
      <c r="G28" s="33">
        <v>12688.897590799999</v>
      </c>
      <c r="H28" s="33">
        <v>482707.20348099997</v>
      </c>
      <c r="I28" s="33">
        <v>1981.33424356</v>
      </c>
      <c r="J28" s="34">
        <v>3628.7421117700001</v>
      </c>
      <c r="K28" s="35">
        <f t="shared" si="1"/>
        <v>463037.89171876997</v>
      </c>
      <c r="L28" s="36">
        <f t="shared" si="2"/>
        <v>1.2397785260259963E-2</v>
      </c>
      <c r="M28" s="37">
        <v>47582</v>
      </c>
      <c r="N28" s="38">
        <f t="shared" si="3"/>
        <v>8.3382195793073651E-3</v>
      </c>
      <c r="O28" s="38">
        <f t="shared" si="4"/>
        <v>36.236610195469893</v>
      </c>
      <c r="P28" s="38">
        <f t="shared" si="5"/>
        <v>1.261905676698752E-2</v>
      </c>
      <c r="Q28" s="76">
        <v>14059.235406899999</v>
      </c>
      <c r="R28" s="33">
        <v>720.77580351100005</v>
      </c>
      <c r="S28" s="39">
        <f t="shared" si="6"/>
        <v>7.9169709963642643E-3</v>
      </c>
      <c r="T28" s="112">
        <f t="shared" si="7"/>
        <v>136686.87709936366</v>
      </c>
      <c r="U28" s="28">
        <f t="shared" si="8"/>
        <v>131549.87247414747</v>
      </c>
      <c r="V28" s="28" t="e">
        <f>(#REF!*$C$13)+$B$34</f>
        <v>#REF!</v>
      </c>
      <c r="W28" s="28" t="e">
        <f t="shared" si="9"/>
        <v>#REF!</v>
      </c>
      <c r="X28" s="28" t="e">
        <f t="shared" si="10"/>
        <v>#REF!</v>
      </c>
      <c r="Y28" s="28" t="e">
        <f t="shared" si="11"/>
        <v>#REF!</v>
      </c>
      <c r="Z28" s="28" t="e">
        <f t="shared" si="12"/>
        <v>#REF!</v>
      </c>
      <c r="AA28" s="16" t="e">
        <f t="shared" si="0"/>
        <v>#REF!</v>
      </c>
      <c r="AE28" s="41" t="e" cm="1">
        <f t="array" ref="AE28">_xlfn.IFS($V28&gt;$W$3,($W$3+$Y$101),$V28&lt;$X$3,($V28+$X28+$Y$101), $V28&lt;$W$3,$V28+$Y$101,$V28&gt;$X$3,$V28+$Y$101)</f>
        <v>#REF!</v>
      </c>
      <c r="AF28" s="41">
        <v>282996.15873348527</v>
      </c>
      <c r="AG28" s="41">
        <v>297000.50605814863</v>
      </c>
      <c r="AH28" s="41">
        <v>236947.03022543597</v>
      </c>
      <c r="AI28" s="41">
        <v>233502.93603308027</v>
      </c>
      <c r="AJ28" s="41">
        <v>247346.62908415886</v>
      </c>
      <c r="AK28" s="41">
        <v>246379.23420425408</v>
      </c>
      <c r="AL28" s="41">
        <v>245411.83932434925</v>
      </c>
      <c r="AM28" s="41">
        <v>244928.14188439684</v>
      </c>
      <c r="AN28" s="41"/>
      <c r="AO28" s="32" t="s">
        <v>83</v>
      </c>
      <c r="AP28" s="41">
        <f t="shared" si="13"/>
        <v>282996.15873348527</v>
      </c>
      <c r="AR28" s="41"/>
    </row>
    <row r="29" spans="1:44" ht="15" thickBot="1" x14ac:dyDescent="0.35">
      <c r="A29" s="91" t="s">
        <v>84</v>
      </c>
      <c r="B29" s="104">
        <v>0.02</v>
      </c>
      <c r="C29" s="109">
        <v>20000</v>
      </c>
      <c r="D29" s="42" t="s">
        <v>85</v>
      </c>
      <c r="E29" s="43">
        <v>368477.65034599998</v>
      </c>
      <c r="F29" s="43">
        <v>11140.550071400001</v>
      </c>
      <c r="G29" s="43">
        <v>3788.0529757600002</v>
      </c>
      <c r="H29" s="43">
        <v>353549.04729900003</v>
      </c>
      <c r="I29" s="43">
        <v>0</v>
      </c>
      <c r="J29" s="44">
        <v>1525.45456021</v>
      </c>
      <c r="K29" s="35">
        <f t="shared" si="1"/>
        <v>329138.20735162997</v>
      </c>
      <c r="L29" s="36">
        <f t="shared" si="2"/>
        <v>8.8126369108703605E-3</v>
      </c>
      <c r="M29" s="45">
        <v>6074</v>
      </c>
      <c r="N29" s="38">
        <f t="shared" si="3"/>
        <v>1.0644013644805375E-3</v>
      </c>
      <c r="O29" s="38">
        <f t="shared" si="4"/>
        <v>18.245604746266761</v>
      </c>
      <c r="P29" s="38">
        <f t="shared" si="5"/>
        <v>6.3538592820677484E-3</v>
      </c>
      <c r="Q29" s="76">
        <v>22885.385386999998</v>
      </c>
      <c r="R29" s="43">
        <v>821.18042284700005</v>
      </c>
      <c r="S29" s="39">
        <f t="shared" si="6"/>
        <v>9.0198110963121761E-3</v>
      </c>
      <c r="T29" s="112">
        <f t="shared" si="7"/>
        <v>124866.46209819239</v>
      </c>
      <c r="U29" s="28">
        <f t="shared" si="8"/>
        <v>118519.11259708775</v>
      </c>
      <c r="V29" s="28" t="e">
        <f>(#REF!*$C$13)+$B$34</f>
        <v>#REF!</v>
      </c>
      <c r="W29" s="28" t="e">
        <f t="shared" si="9"/>
        <v>#REF!</v>
      </c>
      <c r="X29" s="28" t="e">
        <f t="shared" si="10"/>
        <v>#REF!</v>
      </c>
      <c r="Y29" s="28" t="e">
        <f t="shared" si="11"/>
        <v>#REF!</v>
      </c>
      <c r="Z29" s="28" t="e">
        <f t="shared" si="12"/>
        <v>#REF!</v>
      </c>
      <c r="AA29" s="16" t="e">
        <f t="shared" si="0"/>
        <v>#REF!</v>
      </c>
      <c r="AE29" s="41" t="e" cm="1">
        <f t="array" ref="AE29">_xlfn.IFS($V29&gt;$W$3,($W$3+$Y$101),$V29&lt;$X$3,($V29+$X29+$Y$101), $V29&lt;$W$3,$V29+$Y$101,$V29&gt;$X$3,$V29+$Y$101)</f>
        <v>#REF!</v>
      </c>
      <c r="AF29" s="41">
        <v>211763.12830766026</v>
      </c>
      <c r="AG29" s="41">
        <v>211275.78296524551</v>
      </c>
      <c r="AH29" s="41">
        <v>210954.9106576778</v>
      </c>
      <c r="AI29" s="41">
        <v>194527.09195005376</v>
      </c>
      <c r="AJ29" s="41">
        <v>227128.45084803447</v>
      </c>
      <c r="AK29" s="41">
        <v>232900.44871350448</v>
      </c>
      <c r="AL29" s="41">
        <v>238672.44657897446</v>
      </c>
      <c r="AM29" s="41">
        <v>241558.44551170943</v>
      </c>
      <c r="AN29" s="41"/>
      <c r="AO29" s="42" t="s">
        <v>85</v>
      </c>
      <c r="AP29" s="41">
        <f t="shared" si="13"/>
        <v>211763.12830766026</v>
      </c>
      <c r="AR29" s="41"/>
    </row>
    <row r="30" spans="1:44" x14ac:dyDescent="0.3">
      <c r="D30" s="32" t="s">
        <v>86</v>
      </c>
      <c r="E30" s="33">
        <v>388078.86310900003</v>
      </c>
      <c r="F30" s="33">
        <v>2354.3552102100002</v>
      </c>
      <c r="G30" s="33">
        <v>3128.2643112199999</v>
      </c>
      <c r="H30" s="33">
        <v>382596.243587</v>
      </c>
      <c r="I30" s="33">
        <v>0.86728596773900002</v>
      </c>
      <c r="J30" s="34">
        <v>50328.908109000004</v>
      </c>
      <c r="K30" s="35">
        <f t="shared" si="1"/>
        <v>293568.52489240229</v>
      </c>
      <c r="L30" s="36">
        <f t="shared" si="2"/>
        <v>7.8602628335173626E-3</v>
      </c>
      <c r="M30" s="37">
        <v>1281565</v>
      </c>
      <c r="N30" s="38">
        <f t="shared" si="3"/>
        <v>0.22458010119698715</v>
      </c>
      <c r="O30" s="38">
        <f t="shared" si="4"/>
        <v>108.62093730377389</v>
      </c>
      <c r="P30" s="38">
        <f t="shared" si="5"/>
        <v>3.7826214056056261E-2</v>
      </c>
      <c r="Q30" s="76">
        <v>38697.943300200001</v>
      </c>
      <c r="R30" s="33">
        <v>1610.5030232900001</v>
      </c>
      <c r="S30" s="39">
        <f t="shared" si="6"/>
        <v>1.7689697216298556E-2</v>
      </c>
      <c r="T30" s="112">
        <f t="shared" si="7"/>
        <v>161490.43893415504</v>
      </c>
      <c r="U30" s="28">
        <f t="shared" si="8"/>
        <v>385595.10350327211</v>
      </c>
      <c r="V30" s="28" t="e">
        <f>(#REF!*$C$13)+$B$34</f>
        <v>#REF!</v>
      </c>
      <c r="W30" s="28" t="e">
        <f t="shared" si="9"/>
        <v>#REF!</v>
      </c>
      <c r="X30" s="28" t="e">
        <f t="shared" si="10"/>
        <v>#REF!</v>
      </c>
      <c r="Y30" s="28" t="e">
        <f t="shared" si="11"/>
        <v>#REF!</v>
      </c>
      <c r="Z30" s="28" t="e">
        <f t="shared" si="12"/>
        <v>#REF!</v>
      </c>
      <c r="AA30" s="16" t="e">
        <f t="shared" si="0"/>
        <v>#REF!</v>
      </c>
      <c r="AE30" s="41" t="e" cm="1">
        <f t="array" ref="AE30">_xlfn.IFS($V30&gt;$W$3,($W$3+$Y$101),$V30&lt;$X$3,($V30+$X30+$Y$101), $V30&lt;$W$3,$V30+$Y$101,$V30&gt;$X$3,$V30+$Y$101)</f>
        <v>#REF!</v>
      </c>
      <c r="AF30" s="41">
        <v>272759.85181212187</v>
      </c>
      <c r="AG30" s="41">
        <v>286764.19913678523</v>
      </c>
      <c r="AH30" s="41">
        <v>302630.09956693335</v>
      </c>
      <c r="AI30" s="41">
        <v>1168494.2196355746</v>
      </c>
      <c r="AJ30" s="41">
        <v>231992.16870211379</v>
      </c>
      <c r="AK30" s="41">
        <v>236142.92728289071</v>
      </c>
      <c r="AL30" s="41">
        <v>240293.68586366758</v>
      </c>
      <c r="AM30" s="41">
        <v>242369.06515405601</v>
      </c>
      <c r="AN30" s="41"/>
      <c r="AO30" s="32" t="s">
        <v>86</v>
      </c>
      <c r="AP30" s="41">
        <f t="shared" si="13"/>
        <v>272759.85181212187</v>
      </c>
      <c r="AR30" s="41"/>
    </row>
    <row r="31" spans="1:44" ht="15" thickBot="1" x14ac:dyDescent="0.35">
      <c r="D31" s="42" t="s">
        <v>87</v>
      </c>
      <c r="E31" s="43">
        <v>639542.87320599996</v>
      </c>
      <c r="F31" s="43">
        <v>50.557563727999998</v>
      </c>
      <c r="G31" s="43">
        <v>231173.607922</v>
      </c>
      <c r="H31" s="43">
        <v>408318.70772000001</v>
      </c>
      <c r="I31" s="43">
        <v>160.20609021499999</v>
      </c>
      <c r="J31" s="44">
        <v>3625.8690701300002</v>
      </c>
      <c r="K31" s="35">
        <f t="shared" si="1"/>
        <v>354696.74790382705</v>
      </c>
      <c r="L31" s="36">
        <f t="shared" si="2"/>
        <v>9.4969638374542403E-3</v>
      </c>
      <c r="M31" s="45">
        <v>21344</v>
      </c>
      <c r="N31" s="38">
        <f t="shared" si="3"/>
        <v>3.740300086182514E-3</v>
      </c>
      <c r="O31" s="38">
        <f t="shared" si="4"/>
        <v>27.739072612333562</v>
      </c>
      <c r="P31" s="38">
        <f t="shared" si="5"/>
        <v>9.6598696751824288E-3</v>
      </c>
      <c r="Q31" s="76">
        <v>49835.884656100003</v>
      </c>
      <c r="R31" s="43">
        <v>1359.5919440099999</v>
      </c>
      <c r="S31" s="39">
        <f t="shared" si="6"/>
        <v>1.4933700514342259E-2</v>
      </c>
      <c r="T31" s="112">
        <f t="shared" si="7"/>
        <v>129654.86688183068</v>
      </c>
      <c r="U31" s="28">
        <f t="shared" si="8"/>
        <v>122551.38337503078</v>
      </c>
      <c r="V31" s="28" t="e">
        <f>(#REF!*$C$13)+$B$34</f>
        <v>#REF!</v>
      </c>
      <c r="W31" s="28" t="e">
        <f t="shared" si="9"/>
        <v>#REF!</v>
      </c>
      <c r="X31" s="28" t="e">
        <f t="shared" si="10"/>
        <v>#REF!</v>
      </c>
      <c r="Y31" s="28" t="e">
        <f t="shared" si="11"/>
        <v>#REF!</v>
      </c>
      <c r="Z31" s="28" t="e">
        <f t="shared" si="12"/>
        <v>#REF!</v>
      </c>
      <c r="AA31" s="16" t="e">
        <f t="shared" si="0"/>
        <v>#REF!</v>
      </c>
      <c r="AE31" s="41" t="e" cm="1">
        <f t="array" ref="AE31">_xlfn.IFS($V31&gt;$W$3,($W$3+$Y$101),$V31&lt;$X$3,($V31+$X31+$Y$101), $V31&lt;$W$3,$V31+$Y$101,$V31&gt;$X$3,$V31+$Y$101)</f>
        <v>#REF!</v>
      </c>
      <c r="AF31" s="41">
        <v>223008.33191155831</v>
      </c>
      <c r="AG31" s="41">
        <v>220267.17811335746</v>
      </c>
      <c r="AH31" s="41">
        <v>222863.27708887326</v>
      </c>
      <c r="AI31" s="41">
        <v>209318.05325316417</v>
      </c>
      <c r="AJ31" s="41">
        <v>235509.68183019577</v>
      </c>
      <c r="AK31" s="41">
        <v>238487.93603494533</v>
      </c>
      <c r="AL31" s="41">
        <v>241466.1902396949</v>
      </c>
      <c r="AM31" s="41">
        <v>242955.31734206967</v>
      </c>
      <c r="AN31" s="41"/>
      <c r="AO31" s="42" t="s">
        <v>87</v>
      </c>
      <c r="AP31" s="41">
        <f t="shared" si="13"/>
        <v>223008.33191155831</v>
      </c>
      <c r="AR31" s="41"/>
    </row>
    <row r="32" spans="1:44" x14ac:dyDescent="0.3">
      <c r="A32" s="46" t="s">
        <v>88</v>
      </c>
      <c r="B32" s="48"/>
      <c r="D32" s="32" t="s">
        <v>89</v>
      </c>
      <c r="E32" s="33">
        <v>288811.07015300001</v>
      </c>
      <c r="F32" s="33">
        <v>0.31458232795899999</v>
      </c>
      <c r="G32" s="33">
        <v>9452.5570639599991</v>
      </c>
      <c r="H32" s="33">
        <v>279358.19850599999</v>
      </c>
      <c r="I32" s="33">
        <v>0</v>
      </c>
      <c r="J32" s="34">
        <v>3487.2771090900001</v>
      </c>
      <c r="K32" s="35">
        <f t="shared" si="1"/>
        <v>266752.43873432203</v>
      </c>
      <c r="L32" s="36">
        <f t="shared" si="2"/>
        <v>7.1422652707813289E-3</v>
      </c>
      <c r="M32" s="37">
        <v>41135</v>
      </c>
      <c r="N32" s="38">
        <f t="shared" si="3"/>
        <v>7.2084540875711079E-3</v>
      </c>
      <c r="O32" s="38">
        <f t="shared" si="4"/>
        <v>34.519977227823404</v>
      </c>
      <c r="P32" s="38">
        <f t="shared" si="5"/>
        <v>1.2021255572285224E-2</v>
      </c>
      <c r="Q32" s="76">
        <v>9118.4826632999993</v>
      </c>
      <c r="R32" s="33">
        <v>557.34364855299998</v>
      </c>
      <c r="S32" s="39">
        <f t="shared" si="6"/>
        <v>6.1218391060134944E-3</v>
      </c>
      <c r="T32" s="112">
        <f t="shared" si="7"/>
        <v>129662.89167834652</v>
      </c>
      <c r="U32" s="28">
        <f t="shared" si="8"/>
        <v>123887.52989668959</v>
      </c>
      <c r="V32" s="28" t="e">
        <f>(#REF!*$C$13)+$B$34</f>
        <v>#REF!</v>
      </c>
      <c r="W32" s="28" t="e">
        <f t="shared" si="9"/>
        <v>#REF!</v>
      </c>
      <c r="X32" s="28" t="e">
        <f t="shared" si="10"/>
        <v>#REF!</v>
      </c>
      <c r="Y32" s="28" t="e">
        <f t="shared" si="11"/>
        <v>#REF!</v>
      </c>
      <c r="Z32" s="28" t="e">
        <f t="shared" si="12"/>
        <v>#REF!</v>
      </c>
      <c r="AA32" s="16" t="e">
        <f t="shared" si="0"/>
        <v>#REF!</v>
      </c>
      <c r="AE32" s="41" t="e" cm="1">
        <f t="array" ref="AE32">_xlfn.IFS($V32&gt;$W$3,($W$3+$Y$101),$V32&lt;$X$3,($V32+$X32+$Y$101), $V32&lt;$W$3,$V32+$Y$101,$V32&gt;$X$3,$V32+$Y$101)</f>
        <v>#REF!</v>
      </c>
      <c r="AF32" s="41">
        <v>261438.61535949944</v>
      </c>
      <c r="AG32" s="41">
        <v>212727.81509596427</v>
      </c>
      <c r="AH32" s="41">
        <v>215389.48685145014</v>
      </c>
      <c r="AI32" s="41">
        <v>218050.78474525409</v>
      </c>
      <c r="AJ32" s="41">
        <v>215010.31402318017</v>
      </c>
      <c r="AK32" s="41">
        <v>224821.69083026826</v>
      </c>
      <c r="AL32" s="41">
        <v>234633.06763735635</v>
      </c>
      <c r="AM32" s="41">
        <v>239538.75604090039</v>
      </c>
      <c r="AN32" s="41"/>
      <c r="AO32" s="32" t="s">
        <v>89</v>
      </c>
      <c r="AP32" s="41">
        <f t="shared" si="13"/>
        <v>261438.61535949944</v>
      </c>
      <c r="AR32" s="41"/>
    </row>
    <row r="33" spans="1:44" x14ac:dyDescent="0.3">
      <c r="A33" s="49" t="s">
        <v>90</v>
      </c>
      <c r="B33" s="52">
        <f>C8</f>
        <v>9600000</v>
      </c>
      <c r="D33" s="42" t="s">
        <v>91</v>
      </c>
      <c r="E33" s="43">
        <v>1872407.2622700001</v>
      </c>
      <c r="F33" s="43">
        <v>288724.365445</v>
      </c>
      <c r="G33" s="43">
        <v>633464.00318300002</v>
      </c>
      <c r="H33" s="43">
        <v>950218.89364400005</v>
      </c>
      <c r="I33" s="43">
        <v>9872.9012738099991</v>
      </c>
      <c r="J33" s="44">
        <v>15496.043267700001</v>
      </c>
      <c r="K33" s="35">
        <f t="shared" si="1"/>
        <v>740732.23888549022</v>
      </c>
      <c r="L33" s="36">
        <f t="shared" si="2"/>
        <v>1.9833018846396121E-2</v>
      </c>
      <c r="M33" s="45">
        <v>45014</v>
      </c>
      <c r="N33" s="38">
        <f t="shared" si="3"/>
        <v>7.8882059632411784E-3</v>
      </c>
      <c r="O33" s="38">
        <f t="shared" si="4"/>
        <v>35.572621292535679</v>
      </c>
      <c r="P33" s="38">
        <f t="shared" si="5"/>
        <v>1.2387828911689287E-2</v>
      </c>
      <c r="Q33" s="76">
        <v>184117.710215</v>
      </c>
      <c r="R33" s="43">
        <v>3887.7775182800001</v>
      </c>
      <c r="S33" s="39">
        <f t="shared" si="6"/>
        <v>4.2703184128280836E-2</v>
      </c>
      <c r="T33" s="112">
        <f t="shared" si="7"/>
        <v>145331.68397636915</v>
      </c>
      <c r="U33" s="28">
        <f t="shared" si="8"/>
        <v>139932.13643823142</v>
      </c>
      <c r="V33" s="28" t="e">
        <f>(#REF!*$C$13)+$B$34</f>
        <v>#REF!</v>
      </c>
      <c r="W33" s="28" t="e">
        <f t="shared" si="9"/>
        <v>#REF!</v>
      </c>
      <c r="X33" s="28" t="e">
        <f t="shared" si="10"/>
        <v>#REF!</v>
      </c>
      <c r="Y33" s="28" t="e">
        <f t="shared" si="11"/>
        <v>#REF!</v>
      </c>
      <c r="Z33" s="28" t="e">
        <f t="shared" si="12"/>
        <v>#REF!</v>
      </c>
      <c r="AA33" s="16" t="e">
        <f t="shared" si="0"/>
        <v>#REF!</v>
      </c>
      <c r="AE33" s="41" t="e" cm="1">
        <f t="array" ref="AE33">_xlfn.IFS($V33&gt;$W$3,($W$3+$Y$101),$V33&lt;$X$3,($V33+$X33+$Y$101), $V33&lt;$W$3,$V33+$Y$101,$V33&gt;$X$3,$V33+$Y$101)</f>
        <v>#REF!</v>
      </c>
      <c r="AF33" s="41">
        <v>331333.8025062629</v>
      </c>
      <c r="AG33" s="41">
        <v>345338.14983092627</v>
      </c>
      <c r="AH33" s="41">
        <v>285284.67399821361</v>
      </c>
      <c r="AI33" s="41">
        <v>255437.60185163424</v>
      </c>
      <c r="AJ33" s="41">
        <v>319853.09474332538</v>
      </c>
      <c r="AK33" s="41">
        <v>294716.87797703175</v>
      </c>
      <c r="AL33" s="41">
        <v>269580.66121073812</v>
      </c>
      <c r="AM33" s="41">
        <v>257012.55282759125</v>
      </c>
      <c r="AN33" s="41"/>
      <c r="AO33" s="42" t="s">
        <v>91</v>
      </c>
      <c r="AP33" s="41">
        <f t="shared" si="13"/>
        <v>331333.8025062629</v>
      </c>
      <c r="AR33" s="41"/>
    </row>
    <row r="34" spans="1:44" x14ac:dyDescent="0.3">
      <c r="A34" s="49" t="s">
        <v>92</v>
      </c>
      <c r="B34" s="59">
        <f>B33/D96</f>
        <v>106666.66666666667</v>
      </c>
      <c r="D34" s="32" t="s">
        <v>93</v>
      </c>
      <c r="E34" s="33">
        <v>460270.44748600002</v>
      </c>
      <c r="F34" s="33">
        <v>5205.1071425299997</v>
      </c>
      <c r="G34" s="33">
        <v>8819.2954025199997</v>
      </c>
      <c r="H34" s="33">
        <v>446246.044941</v>
      </c>
      <c r="I34" s="33">
        <v>0</v>
      </c>
      <c r="J34" s="34">
        <v>1356.9076607699999</v>
      </c>
      <c r="K34" s="35">
        <f t="shared" si="1"/>
        <v>429394.16738088004</v>
      </c>
      <c r="L34" s="36">
        <f t="shared" si="2"/>
        <v>1.1496978485790033E-2</v>
      </c>
      <c r="M34" s="37">
        <v>9989</v>
      </c>
      <c r="N34" s="38">
        <f t="shared" si="3"/>
        <v>1.7504618422449932E-3</v>
      </c>
      <c r="O34" s="38">
        <f t="shared" si="4"/>
        <v>21.536444408166243</v>
      </c>
      <c r="P34" s="38">
        <f t="shared" si="5"/>
        <v>7.4998630688611137E-3</v>
      </c>
      <c r="Q34" s="76">
        <v>15494.9698993</v>
      </c>
      <c r="R34" s="33">
        <v>541.82597275800003</v>
      </c>
      <c r="S34" s="39">
        <f t="shared" si="6"/>
        <v>5.9513936101997286E-3</v>
      </c>
      <c r="T34" s="112">
        <f t="shared" si="7"/>
        <v>129462.87653224805</v>
      </c>
      <c r="U34" s="28">
        <f t="shared" si="8"/>
        <v>122563.5950603087</v>
      </c>
      <c r="V34" s="28" t="e">
        <f>(#REF!*$C$13)+$B$34</f>
        <v>#REF!</v>
      </c>
      <c r="W34" s="28" t="e">
        <f t="shared" si="9"/>
        <v>#REF!</v>
      </c>
      <c r="X34" s="28" t="e">
        <f t="shared" si="10"/>
        <v>#REF!</v>
      </c>
      <c r="Y34" s="28" t="e">
        <f t="shared" si="11"/>
        <v>#REF!</v>
      </c>
      <c r="Z34" s="28" t="e">
        <f t="shared" si="12"/>
        <v>#REF!</v>
      </c>
      <c r="AA34" s="16" t="e">
        <f t="shared" si="0"/>
        <v>#REF!</v>
      </c>
      <c r="AE34" s="41" t="e" cm="1">
        <f t="array" ref="AE34">_xlfn.IFS($V34&gt;$W$3,($W$3+$Y$101),$V34&lt;$X$3,($V34+$X34+$Y$101), $V34&lt;$W$3,$V34+$Y$101,$V34&gt;$X$3,$V34+$Y$101)</f>
        <v>#REF!</v>
      </c>
      <c r="AF34" s="41">
        <v>221614.89367366483</v>
      </c>
      <c r="AG34" s="41">
        <v>221127.54833125009</v>
      </c>
      <c r="AH34" s="41">
        <v>223267.44277618319</v>
      </c>
      <c r="AI34" s="41">
        <v>202411.03427152478</v>
      </c>
      <c r="AJ34" s="41">
        <v>241906.09889704135</v>
      </c>
      <c r="AK34" s="41">
        <v>242752.21407950905</v>
      </c>
      <c r="AL34" s="41">
        <v>243598.32926197673</v>
      </c>
      <c r="AM34" s="41">
        <v>244021.3868532106</v>
      </c>
      <c r="AN34" s="41"/>
      <c r="AO34" s="32" t="s">
        <v>93</v>
      </c>
      <c r="AP34" s="41">
        <f t="shared" si="13"/>
        <v>221614.89367366483</v>
      </c>
      <c r="AR34" s="41"/>
    </row>
    <row r="35" spans="1:44" ht="15" thickBot="1" x14ac:dyDescent="0.35">
      <c r="A35" s="60" t="s">
        <v>94</v>
      </c>
      <c r="B35" s="61">
        <f>B3-B33</f>
        <v>2400000</v>
      </c>
      <c r="D35" s="42" t="s">
        <v>95</v>
      </c>
      <c r="E35" s="43">
        <v>341248.83279800002</v>
      </c>
      <c r="F35" s="43">
        <v>0</v>
      </c>
      <c r="G35" s="43">
        <v>35412.511820300002</v>
      </c>
      <c r="H35" s="43">
        <v>305836.320978</v>
      </c>
      <c r="I35" s="43">
        <v>5.9746692005400002</v>
      </c>
      <c r="J35" s="44">
        <v>1832.4311943099999</v>
      </c>
      <c r="K35" s="35">
        <f t="shared" si="1"/>
        <v>298441.90930731944</v>
      </c>
      <c r="L35" s="36">
        <f t="shared" si="2"/>
        <v>7.9907471298296326E-3</v>
      </c>
      <c r="M35" s="45">
        <v>16032</v>
      </c>
      <c r="N35" s="38">
        <f t="shared" si="3"/>
        <v>2.8094307993664761E-3</v>
      </c>
      <c r="O35" s="38">
        <f t="shared" si="4"/>
        <v>25.215208758358266</v>
      </c>
      <c r="P35" s="38">
        <f t="shared" si="5"/>
        <v>8.7809579592779494E-3</v>
      </c>
      <c r="Q35" s="76">
        <v>5556.00580687</v>
      </c>
      <c r="R35" s="43">
        <v>501.85616838099997</v>
      </c>
      <c r="S35" s="39">
        <f t="shared" si="6"/>
        <v>5.5123669663506422E-3</v>
      </c>
      <c r="T35" s="112">
        <f t="shared" si="7"/>
        <v>126792.71277359576</v>
      </c>
      <c r="U35" s="28">
        <f t="shared" si="8"/>
        <v>119626.880181702</v>
      </c>
      <c r="V35" s="28" t="e">
        <f>(#REF!*$C$13)+$B$34</f>
        <v>#REF!</v>
      </c>
      <c r="W35" s="28" t="e">
        <f t="shared" si="9"/>
        <v>#REF!</v>
      </c>
      <c r="X35" s="28" t="e">
        <f t="shared" si="10"/>
        <v>#REF!</v>
      </c>
      <c r="Y35" s="28" t="e">
        <f t="shared" si="11"/>
        <v>#REF!</v>
      </c>
      <c r="Z35" s="28" t="e">
        <f t="shared" si="12"/>
        <v>#REF!</v>
      </c>
      <c r="AA35" s="16" t="e">
        <f t="shared" si="0"/>
        <v>#REF!</v>
      </c>
      <c r="AE35" s="41" t="e" cm="1">
        <f t="array" ref="AE35">_xlfn.IFS($V35&gt;$W$3,($W$3+$Y$101),$V35&lt;$X$3,($V35+$X35+$Y$101), $V35&lt;$W$3,$V35+$Y$101,$V35&gt;$X$3,$V35+$Y$101)</f>
        <v>#REF!</v>
      </c>
      <c r="AF35" s="41">
        <v>212326.61024522976</v>
      </c>
      <c r="AG35" s="41">
        <v>209585.4564470289</v>
      </c>
      <c r="AH35" s="41">
        <v>212181.55542254471</v>
      </c>
      <c r="AI35" s="41">
        <v>199693.90356116949</v>
      </c>
      <c r="AJ35" s="41">
        <v>219487.09933070294</v>
      </c>
      <c r="AK35" s="41">
        <v>227806.21436861681</v>
      </c>
      <c r="AL35" s="41">
        <v>236125.32940653063</v>
      </c>
      <c r="AM35" s="41">
        <v>240284.88692548752</v>
      </c>
      <c r="AN35" s="41"/>
      <c r="AO35" s="42" t="s">
        <v>95</v>
      </c>
      <c r="AP35" s="41">
        <f t="shared" si="13"/>
        <v>212326.61024522976</v>
      </c>
      <c r="AR35" s="41"/>
    </row>
    <row r="36" spans="1:44" x14ac:dyDescent="0.3">
      <c r="B36" s="19"/>
      <c r="D36" s="32" t="s">
        <v>96</v>
      </c>
      <c r="E36" s="33">
        <v>551820.09867500002</v>
      </c>
      <c r="F36" s="33">
        <v>14884.322260000001</v>
      </c>
      <c r="G36" s="33">
        <v>10392.4662032</v>
      </c>
      <c r="H36" s="33">
        <v>526543.31021200004</v>
      </c>
      <c r="I36" s="33">
        <v>0</v>
      </c>
      <c r="J36" s="34">
        <v>4297.11448741</v>
      </c>
      <c r="K36" s="35">
        <f t="shared" si="1"/>
        <v>471759.95479849004</v>
      </c>
      <c r="L36" s="36">
        <f t="shared" si="2"/>
        <v>1.263131747657043E-2</v>
      </c>
      <c r="M36" s="37">
        <v>43732</v>
      </c>
      <c r="N36" s="38">
        <f t="shared" si="3"/>
        <v>7.6635496331022169E-3</v>
      </c>
      <c r="O36" s="38">
        <f t="shared" si="4"/>
        <v>35.231660564022945</v>
      </c>
      <c r="P36" s="38">
        <f t="shared" si="5"/>
        <v>1.226909256286399E-2</v>
      </c>
      <c r="Q36" s="76">
        <v>50486.240925899998</v>
      </c>
      <c r="R36" s="33">
        <v>1195.9990366</v>
      </c>
      <c r="S36" s="39">
        <f t="shared" si="6"/>
        <v>1.3136802925845301E-2</v>
      </c>
      <c r="T36" s="112">
        <f t="shared" si="7"/>
        <v>136547.15871398797</v>
      </c>
      <c r="U36" s="28">
        <f t="shared" si="8"/>
        <v>131020.50719827384</v>
      </c>
      <c r="V36" s="28" t="e">
        <f>(#REF!*$C$13)+$B$34</f>
        <v>#REF!</v>
      </c>
      <c r="W36" s="28" t="e">
        <f t="shared" si="9"/>
        <v>#REF!</v>
      </c>
      <c r="X36" s="28" t="e">
        <f t="shared" si="10"/>
        <v>#REF!</v>
      </c>
      <c r="Y36" s="28" t="e">
        <f t="shared" si="11"/>
        <v>#REF!</v>
      </c>
      <c r="Z36" s="28" t="e">
        <f t="shared" si="12"/>
        <v>#REF!</v>
      </c>
      <c r="AA36" s="16" t="e">
        <f t="shared" si="0"/>
        <v>#REF!</v>
      </c>
      <c r="AE36" s="41" t="e" cm="1">
        <f t="array" ref="AE36">_xlfn.IFS($V36&gt;$W$3,($W$3+$Y$101),$V36&lt;$X$3,($V36+$X36+$Y$101), $V36&lt;$W$3,$V36+$Y$101,$V36&gt;$X$3,$V36+$Y$101)</f>
        <v>#REF!</v>
      </c>
      <c r="AF36" s="41">
        <v>287575.66550694493</v>
      </c>
      <c r="AG36" s="41">
        <v>301580.0128316083</v>
      </c>
      <c r="AH36" s="41">
        <v>241526.53699889564</v>
      </c>
      <c r="AI36" s="41">
        <v>232554.01114480174</v>
      </c>
      <c r="AJ36" s="41">
        <v>254215.88924434839</v>
      </c>
      <c r="AK36" s="41">
        <v>250958.74097771378</v>
      </c>
      <c r="AL36" s="41">
        <v>247701.59271107911</v>
      </c>
      <c r="AM36" s="41">
        <v>246073.01857776177</v>
      </c>
      <c r="AN36" s="41"/>
      <c r="AO36" s="32" t="s">
        <v>96</v>
      </c>
      <c r="AP36" s="41">
        <f t="shared" si="13"/>
        <v>287575.66550694493</v>
      </c>
      <c r="AR36" s="41"/>
    </row>
    <row r="37" spans="1:44" x14ac:dyDescent="0.3">
      <c r="D37" s="42" t="s">
        <v>97</v>
      </c>
      <c r="E37" s="43">
        <v>707307.84024799999</v>
      </c>
      <c r="F37" s="43">
        <v>443.773037273</v>
      </c>
      <c r="G37" s="43">
        <v>76232.451614299993</v>
      </c>
      <c r="H37" s="43">
        <v>630631.615597</v>
      </c>
      <c r="I37" s="43">
        <v>0</v>
      </c>
      <c r="J37" s="44">
        <v>2228.6415866000002</v>
      </c>
      <c r="K37" s="35">
        <f t="shared" si="1"/>
        <v>621398.50070425705</v>
      </c>
      <c r="L37" s="36">
        <f t="shared" si="2"/>
        <v>1.663787199829846E-2</v>
      </c>
      <c r="M37" s="45">
        <v>4207</v>
      </c>
      <c r="N37" s="38">
        <f t="shared" si="3"/>
        <v>7.3723025030780721E-4</v>
      </c>
      <c r="O37" s="38">
        <f t="shared" si="4"/>
        <v>16.143244977611037</v>
      </c>
      <c r="P37" s="38">
        <f t="shared" si="5"/>
        <v>5.6217323772003074E-3</v>
      </c>
      <c r="Q37" s="76">
        <v>7004.4733055699999</v>
      </c>
      <c r="R37" s="43">
        <v>609.62142054399999</v>
      </c>
      <c r="S37" s="39">
        <f t="shared" si="6"/>
        <v>6.696055946522313E-3</v>
      </c>
      <c r="T37" s="112">
        <f t="shared" si="7"/>
        <v>133378.19191726518</v>
      </c>
      <c r="U37" s="28">
        <f t="shared" si="8"/>
        <v>127516.78936499418</v>
      </c>
      <c r="V37" s="28" t="e">
        <f>(#REF!*$C$13)+$B$34</f>
        <v>#REF!</v>
      </c>
      <c r="W37" s="28" t="e">
        <f t="shared" si="9"/>
        <v>#REF!</v>
      </c>
      <c r="X37" s="28" t="e">
        <f t="shared" si="10"/>
        <v>#REF!</v>
      </c>
      <c r="Y37" s="28" t="e">
        <f t="shared" si="11"/>
        <v>#REF!</v>
      </c>
      <c r="Z37" s="28" t="e">
        <f t="shared" si="12"/>
        <v>#REF!</v>
      </c>
      <c r="AA37" s="16" t="e">
        <f t="shared" si="0"/>
        <v>#REF!</v>
      </c>
      <c r="AE37" s="41" t="e" cm="1">
        <f t="array" ref="AE37">_xlfn.IFS($V37&gt;$W$3,($W$3+$Y$101),$V37&lt;$X$3,($V37+$X37+$Y$101), $V37&lt;$W$3,$V37+$Y$101,$V37&gt;$X$3,$V37+$Y$101)</f>
        <v>#REF!</v>
      </c>
      <c r="AF37" s="41">
        <v>241083.20422739064</v>
      </c>
      <c r="AG37" s="41">
        <v>240595.8588849759</v>
      </c>
      <c r="AH37" s="41">
        <v>240274.98657740818</v>
      </c>
      <c r="AI37" s="41">
        <v>207639.87275735009</v>
      </c>
      <c r="AJ37" s="41">
        <v>271108.56472763006</v>
      </c>
      <c r="AK37" s="41">
        <v>262220.52463323483</v>
      </c>
      <c r="AL37" s="41">
        <v>253332.48453883966</v>
      </c>
      <c r="AM37" s="41">
        <v>248888.46449164205</v>
      </c>
      <c r="AN37" s="41"/>
      <c r="AO37" s="42" t="s">
        <v>97</v>
      </c>
      <c r="AP37" s="41">
        <f t="shared" si="13"/>
        <v>241083.20422739064</v>
      </c>
      <c r="AR37" s="41"/>
    </row>
    <row r="38" spans="1:44" ht="15" thickBot="1" x14ac:dyDescent="0.35">
      <c r="D38" s="32" t="s">
        <v>98</v>
      </c>
      <c r="E38" s="33">
        <v>2018223.43303</v>
      </c>
      <c r="F38" s="33">
        <v>65232.290682500003</v>
      </c>
      <c r="G38" s="33">
        <v>1378400.07372</v>
      </c>
      <c r="H38" s="33">
        <v>574591.06862799998</v>
      </c>
      <c r="I38" s="33">
        <v>1797.8884358600001</v>
      </c>
      <c r="J38" s="34">
        <v>5763.4278782900001</v>
      </c>
      <c r="K38" s="35">
        <f t="shared" si="1"/>
        <v>535599.44013674988</v>
      </c>
      <c r="L38" s="36">
        <f t="shared" si="2"/>
        <v>1.4340612211416807E-2</v>
      </c>
      <c r="M38" s="37">
        <v>12062</v>
      </c>
      <c r="N38" s="38">
        <f t="shared" si="3"/>
        <v>2.1137321795133756E-3</v>
      </c>
      <c r="O38" s="38">
        <f t="shared" si="4"/>
        <v>22.933646185864909</v>
      </c>
      <c r="P38" s="38">
        <f t="shared" si="5"/>
        <v>7.9864253729123782E-3</v>
      </c>
      <c r="Q38" s="76">
        <v>31430.3121766</v>
      </c>
      <c r="R38" s="33">
        <v>1611.0164322099999</v>
      </c>
      <c r="S38" s="39">
        <f t="shared" si="6"/>
        <v>1.769533647820096E-2</v>
      </c>
      <c r="T38" s="112">
        <f t="shared" si="7"/>
        <v>133459.1117678617</v>
      </c>
      <c r="U38" s="28">
        <f t="shared" si="8"/>
        <v>126411.8799357829</v>
      </c>
      <c r="V38" s="28" t="e">
        <f>(#REF!*$C$13)+$B$34</f>
        <v>#REF!</v>
      </c>
      <c r="W38" s="28" t="e">
        <f t="shared" si="9"/>
        <v>#REF!</v>
      </c>
      <c r="X38" s="28" t="e">
        <f t="shared" si="10"/>
        <v>#REF!</v>
      </c>
      <c r="Y38" s="28" t="e">
        <f t="shared" si="11"/>
        <v>#REF!</v>
      </c>
      <c r="Z38" s="28" t="e">
        <f t="shared" si="12"/>
        <v>#REF!</v>
      </c>
      <c r="AA38" s="16" t="e">
        <f t="shared" si="0"/>
        <v>#REF!</v>
      </c>
      <c r="AE38" s="41" t="e" cm="1">
        <f t="array" ref="AE38">_xlfn.IFS($V38&gt;$W$3,($W$3+$Y$101),$V38&lt;$X$3,($V38+$X38+$Y$101), $V38&lt;$W$3,$V38+$Y$101,$V38&gt;$X$3,$V38+$Y$101)</f>
        <v>#REF!</v>
      </c>
      <c r="AF38" s="41">
        <v>234763.07540261943</v>
      </c>
      <c r="AG38" s="41">
        <v>237679.63788687577</v>
      </c>
      <c r="AH38" s="41">
        <v>236415.62450513779</v>
      </c>
      <c r="AI38" s="41">
        <v>210489.21019064175</v>
      </c>
      <c r="AJ38" s="41">
        <v>261628.37149047322</v>
      </c>
      <c r="AK38" s="41">
        <v>255900.39580846363</v>
      </c>
      <c r="AL38" s="41">
        <v>250172.42012645403</v>
      </c>
      <c r="AM38" s="41">
        <v>247308.43228544923</v>
      </c>
      <c r="AN38" s="41"/>
      <c r="AO38" s="32" t="s">
        <v>98</v>
      </c>
      <c r="AP38" s="41">
        <f t="shared" si="13"/>
        <v>234763.07540261943</v>
      </c>
      <c r="AR38" s="41"/>
    </row>
    <row r="39" spans="1:44" x14ac:dyDescent="0.3">
      <c r="A39" s="84" t="s">
        <v>99</v>
      </c>
      <c r="B39" s="85"/>
      <c r="C39" s="79"/>
      <c r="D39" s="42" t="s">
        <v>100</v>
      </c>
      <c r="E39" s="43">
        <v>498328.594415</v>
      </c>
      <c r="F39" s="43">
        <v>11588.3727003</v>
      </c>
      <c r="G39" s="43">
        <v>19049.1389566</v>
      </c>
      <c r="H39" s="43">
        <v>467691.082758</v>
      </c>
      <c r="I39" s="43">
        <v>0</v>
      </c>
      <c r="J39" s="44">
        <v>1295.34324466</v>
      </c>
      <c r="K39" s="35">
        <f t="shared" si="1"/>
        <v>456592.53880611999</v>
      </c>
      <c r="L39" s="36">
        <f t="shared" si="2"/>
        <v>1.2225211691731885E-2</v>
      </c>
      <c r="M39" s="45">
        <v>6719</v>
      </c>
      <c r="N39" s="38">
        <f t="shared" si="3"/>
        <v>1.1774304853382829E-3</v>
      </c>
      <c r="O39" s="38">
        <f t="shared" si="4"/>
        <v>18.869839824438301</v>
      </c>
      <c r="P39" s="38">
        <f t="shared" si="5"/>
        <v>6.5712432438925312E-3</v>
      </c>
      <c r="Q39" s="76">
        <v>9803.2007073200002</v>
      </c>
      <c r="R39" s="43">
        <v>775.81723525400002</v>
      </c>
      <c r="S39" s="39">
        <f t="shared" si="6"/>
        <v>8.5215437589140613E-3</v>
      </c>
      <c r="T39" s="112">
        <f t="shared" si="7"/>
        <v>129222.41258941597</v>
      </c>
      <c r="U39" s="28">
        <f t="shared" si="8"/>
        <v>122749.83727915087</v>
      </c>
      <c r="V39" s="28" t="e">
        <f>(#REF!*$C$13)+$B$34</f>
        <v>#REF!</v>
      </c>
      <c r="W39" s="28" t="e">
        <f t="shared" si="9"/>
        <v>#REF!</v>
      </c>
      <c r="X39" s="28" t="e">
        <f t="shared" si="10"/>
        <v>#REF!</v>
      </c>
      <c r="Y39" s="28" t="e">
        <f t="shared" si="11"/>
        <v>#REF!</v>
      </c>
      <c r="Z39" s="28" t="e">
        <f t="shared" si="12"/>
        <v>#REF!</v>
      </c>
      <c r="AA39" s="16" t="e">
        <f t="shared" si="0"/>
        <v>#REF!</v>
      </c>
      <c r="AE39" s="41" t="e" cm="1">
        <f t="array" ref="AE39">_xlfn.IFS($V39&gt;$W$3,($W$3+$Y$101),$V39&lt;$X$3,($V39+$X39+$Y$101), $V39&lt;$W$3,$V39+$Y$101,$V39&gt;$X$3,$V39+$Y$101)</f>
        <v>#REF!</v>
      </c>
      <c r="AF39" s="41">
        <v>223896.4503055464</v>
      </c>
      <c r="AG39" s="41">
        <v>223409.10496313166</v>
      </c>
      <c r="AH39" s="41">
        <v>223088.23265556394</v>
      </c>
      <c r="AI39" s="41">
        <v>201003.11694900386</v>
      </c>
      <c r="AJ39" s="41">
        <v>245328.43384486367</v>
      </c>
      <c r="AK39" s="41">
        <v>245033.77071139062</v>
      </c>
      <c r="AL39" s="41">
        <v>244739.10757791752</v>
      </c>
      <c r="AM39" s="41">
        <v>244591.77601118098</v>
      </c>
      <c r="AN39" s="41"/>
      <c r="AO39" s="42" t="s">
        <v>100</v>
      </c>
      <c r="AP39" s="41">
        <f t="shared" si="13"/>
        <v>223896.4503055464</v>
      </c>
      <c r="AR39" s="41"/>
    </row>
    <row r="40" spans="1:44" x14ac:dyDescent="0.3">
      <c r="A40" s="86" t="s">
        <v>46</v>
      </c>
      <c r="B40" s="87">
        <f>IF(($A$9&gt;0),ROUND($A$9/SUM($A$9:$A$13),2),0)</f>
        <v>0</v>
      </c>
      <c r="C40" s="79"/>
      <c r="D40" s="32" t="s">
        <v>101</v>
      </c>
      <c r="E40" s="33">
        <v>1463900.6562999999</v>
      </c>
      <c r="F40" s="33">
        <v>753025.912182</v>
      </c>
      <c r="G40" s="33">
        <v>254987.37370699999</v>
      </c>
      <c r="H40" s="33">
        <v>455887.37040700001</v>
      </c>
      <c r="I40" s="33">
        <v>0</v>
      </c>
      <c r="J40" s="34">
        <v>100691.052218</v>
      </c>
      <c r="K40" s="35">
        <f t="shared" si="1"/>
        <v>235376.80795799999</v>
      </c>
      <c r="L40" s="36">
        <f t="shared" si="2"/>
        <v>6.3021864354917551E-3</v>
      </c>
      <c r="M40" s="37">
        <v>10905</v>
      </c>
      <c r="N40" s="38">
        <f t="shared" si="3"/>
        <v>1.9109807177576986E-3</v>
      </c>
      <c r="O40" s="38">
        <f t="shared" si="4"/>
        <v>22.175592036413772</v>
      </c>
      <c r="P40" s="38">
        <f t="shared" si="5"/>
        <v>7.7224401852037817E-3</v>
      </c>
      <c r="Q40" s="76">
        <v>119819.51023499999</v>
      </c>
      <c r="R40" s="33">
        <v>4390.3485409900004</v>
      </c>
      <c r="S40" s="39">
        <f t="shared" si="6"/>
        <v>4.8223403024401805E-2</v>
      </c>
      <c r="T40" s="112">
        <f t="shared" si="7"/>
        <v>123496.21861150132</v>
      </c>
      <c r="U40" s="28">
        <f t="shared" si="8"/>
        <v>116522.46725056601</v>
      </c>
      <c r="V40" s="28" t="e">
        <f>(#REF!*$C$13)+$B$34</f>
        <v>#REF!</v>
      </c>
      <c r="W40" s="28" t="e">
        <f t="shared" si="9"/>
        <v>#REF!</v>
      </c>
      <c r="X40" s="28" t="e">
        <f t="shared" si="10"/>
        <v>#REF!</v>
      </c>
      <c r="Y40" s="28" t="e">
        <f t="shared" si="11"/>
        <v>#REF!</v>
      </c>
      <c r="Z40" s="28" t="e">
        <f t="shared" si="12"/>
        <v>#REF!</v>
      </c>
      <c r="AA40" s="16" t="e">
        <f t="shared" si="0"/>
        <v>#REF!</v>
      </c>
      <c r="AE40" s="41" t="e" cm="1">
        <f t="array" ref="AE40">_xlfn.IFS($V40&gt;$W$3,($W$3+$Y$101),$V40&lt;$X$3,($V40+$X40+$Y$101), $V40&lt;$W$3,$V40+$Y$101,$V40&gt;$X$3,$V40+$Y$101)</f>
        <v>#REF!</v>
      </c>
      <c r="AF40" s="41">
        <v>212099.7111264173</v>
      </c>
      <c r="AG40" s="41">
        <v>211612.36578400256</v>
      </c>
      <c r="AH40" s="41">
        <v>213752.26022893566</v>
      </c>
      <c r="AI40" s="41">
        <v>198421.28959678422</v>
      </c>
      <c r="AJ40" s="41">
        <v>227633.32507617003</v>
      </c>
      <c r="AK40" s="41">
        <v>233237.03153226152</v>
      </c>
      <c r="AL40" s="41">
        <v>238840.73798835298</v>
      </c>
      <c r="AM40" s="41">
        <v>241642.59121639872</v>
      </c>
      <c r="AN40" s="41"/>
      <c r="AO40" s="32" t="s">
        <v>101</v>
      </c>
      <c r="AP40" s="41">
        <f t="shared" si="13"/>
        <v>212099.7111264173</v>
      </c>
      <c r="AR40" s="41"/>
    </row>
    <row r="41" spans="1:44" x14ac:dyDescent="0.3">
      <c r="A41" s="86" t="s">
        <v>6</v>
      </c>
      <c r="B41" s="88">
        <f>IF(($A$10&gt;0),ROUND($A$10/SUM($A$9:$A$13),2),0)</f>
        <v>0.5</v>
      </c>
      <c r="C41" s="79"/>
      <c r="D41" s="42" t="s">
        <v>102</v>
      </c>
      <c r="E41" s="43">
        <v>1134943.71365</v>
      </c>
      <c r="F41" s="43">
        <v>54594.605870699997</v>
      </c>
      <c r="G41" s="43">
        <v>438354.12079999998</v>
      </c>
      <c r="H41" s="43">
        <v>641994.98698000005</v>
      </c>
      <c r="I41" s="43">
        <v>110204.208264</v>
      </c>
      <c r="J41" s="44">
        <v>2625.0601183799999</v>
      </c>
      <c r="K41" s="35">
        <f t="shared" si="1"/>
        <v>226280.24555992003</v>
      </c>
      <c r="L41" s="36">
        <f t="shared" si="2"/>
        <v>6.0586270438416929E-3</v>
      </c>
      <c r="M41" s="45">
        <v>3763</v>
      </c>
      <c r="N41" s="38">
        <f t="shared" si="3"/>
        <v>6.5942415781038231E-4</v>
      </c>
      <c r="O41" s="38">
        <f t="shared" si="4"/>
        <v>15.554094722982821</v>
      </c>
      <c r="P41" s="38">
        <f t="shared" si="5"/>
        <v>5.4165663733347462E-3</v>
      </c>
      <c r="Q41" s="76">
        <v>302885.47303699999</v>
      </c>
      <c r="R41" s="43">
        <v>622.96675792799999</v>
      </c>
      <c r="S41" s="39">
        <f t="shared" si="6"/>
        <v>6.8426405689404977E-3</v>
      </c>
      <c r="T41" s="112">
        <f t="shared" si="7"/>
        <v>120436.8987672784</v>
      </c>
      <c r="U41" s="28">
        <f t="shared" si="8"/>
        <v>114728.32810864916</v>
      </c>
      <c r="V41" s="28" t="e">
        <f>(#REF!*$C$13)+$B$34</f>
        <v>#REF!</v>
      </c>
      <c r="W41" s="28" t="e">
        <f t="shared" si="9"/>
        <v>#REF!</v>
      </c>
      <c r="X41" s="28" t="e">
        <f t="shared" si="10"/>
        <v>#REF!</v>
      </c>
      <c r="Y41" s="28" t="e">
        <f t="shared" si="11"/>
        <v>#REF!</v>
      </c>
      <c r="Z41" s="28" t="e">
        <f t="shared" si="12"/>
        <v>#REF!</v>
      </c>
      <c r="AA41" s="16" t="e">
        <f t="shared" si="0"/>
        <v>#REF!</v>
      </c>
      <c r="AE41" s="41" t="e" cm="1">
        <f t="array" ref="AE41">_xlfn.IFS($V41&gt;$W$3,($W$3+$Y$101),$V41&lt;$X$3,($V41+$X41+$Y$101), $V41&lt;$W$3,$V41+$Y$101,$V41&gt;$X$3,$V41+$Y$101)</f>
        <v>#REF!</v>
      </c>
      <c r="AF41" s="41">
        <v>242246.64807303203</v>
      </c>
      <c r="AG41" s="41">
        <v>241759.30273061729</v>
      </c>
      <c r="AH41" s="41">
        <v>241438.43042304958</v>
      </c>
      <c r="AI41" s="41">
        <v>207972.58418675789</v>
      </c>
      <c r="AJ41" s="41">
        <v>272853.73049609218</v>
      </c>
      <c r="AK41" s="41">
        <v>263383.96847887628</v>
      </c>
      <c r="AL41" s="41">
        <v>253914.20646166036</v>
      </c>
      <c r="AM41" s="41">
        <v>249179.32545305238</v>
      </c>
      <c r="AN41" s="41"/>
      <c r="AO41" s="42" t="s">
        <v>102</v>
      </c>
      <c r="AP41" s="41">
        <f t="shared" si="13"/>
        <v>242246.64807303203</v>
      </c>
      <c r="AR41" s="41"/>
    </row>
    <row r="42" spans="1:44" x14ac:dyDescent="0.3">
      <c r="A42" s="86" t="s">
        <v>50</v>
      </c>
      <c r="B42" s="88">
        <f>IF(($A$11&gt;0),ROUND($A$11/SUM($A$9:$A$13),2),0)</f>
        <v>0</v>
      </c>
      <c r="C42" s="79"/>
      <c r="D42" s="32" t="s">
        <v>103</v>
      </c>
      <c r="E42" s="33">
        <v>303181.99307500001</v>
      </c>
      <c r="F42" s="33">
        <v>424.30410488899997</v>
      </c>
      <c r="G42" s="33">
        <v>6136.2694569699997</v>
      </c>
      <c r="H42" s="33">
        <v>296621.419513</v>
      </c>
      <c r="I42" s="33">
        <v>0</v>
      </c>
      <c r="J42" s="34">
        <v>2882.7314021699999</v>
      </c>
      <c r="K42" s="35">
        <f t="shared" si="1"/>
        <v>273099.74349587108</v>
      </c>
      <c r="L42" s="36">
        <f t="shared" si="2"/>
        <v>7.3122136115596802E-3</v>
      </c>
      <c r="M42" s="37">
        <v>28674</v>
      </c>
      <c r="N42" s="38">
        <f t="shared" si="3"/>
        <v>5.0248015681782898E-3</v>
      </c>
      <c r="O42" s="38">
        <f t="shared" si="4"/>
        <v>30.60761056375777</v>
      </c>
      <c r="P42" s="38">
        <f t="shared" si="5"/>
        <v>1.0658810885522393E-2</v>
      </c>
      <c r="Q42" s="76">
        <v>20638.944615100001</v>
      </c>
      <c r="R42" s="33">
        <v>647.48519071099997</v>
      </c>
      <c r="S42" s="39">
        <f t="shared" si="6"/>
        <v>7.1119499995203981E-3</v>
      </c>
      <c r="T42" s="112">
        <f t="shared" si="7"/>
        <v>128231.89606316516</v>
      </c>
      <c r="U42" s="28">
        <f t="shared" si="8"/>
        <v>121471.08488235224</v>
      </c>
      <c r="V42" s="28" t="e">
        <f>(#REF!*$C$13)+$B$34</f>
        <v>#REF!</v>
      </c>
      <c r="W42" s="28" t="e">
        <f t="shared" si="9"/>
        <v>#REF!</v>
      </c>
      <c r="X42" s="28" t="e">
        <f t="shared" si="10"/>
        <v>#REF!</v>
      </c>
      <c r="Y42" s="28" t="e">
        <f t="shared" si="11"/>
        <v>#REF!</v>
      </c>
      <c r="Z42" s="28" t="e">
        <f t="shared" si="12"/>
        <v>#REF!</v>
      </c>
      <c r="AA42" s="16" t="e">
        <f t="shared" si="0"/>
        <v>#REF!</v>
      </c>
      <c r="AE42" s="41" t="e" cm="1">
        <f t="array" ref="AE42">_xlfn.IFS($V42&gt;$W$3,($W$3+$Y$101),$V42&lt;$X$3,($V42+$X42+$Y$101), $V42&lt;$W$3,$V42+$Y$101,$V42&gt;$X$3,$V42+$Y$101)</f>
        <v>#REF!</v>
      </c>
      <c r="AF42" s="41">
        <v>211237.612610955</v>
      </c>
      <c r="AG42" s="41">
        <v>214623.34100003802</v>
      </c>
      <c r="AH42" s="41">
        <v>211092.55778826994</v>
      </c>
      <c r="AI42" s="41">
        <v>208926.34306435013</v>
      </c>
      <c r="AJ42" s="41">
        <v>217853.60287929076</v>
      </c>
      <c r="AK42" s="41">
        <v>226717.21673434199</v>
      </c>
      <c r="AL42" s="41">
        <v>235580.83058939321</v>
      </c>
      <c r="AM42" s="41">
        <v>240012.63751691882</v>
      </c>
      <c r="AN42" s="41"/>
      <c r="AO42" s="32" t="s">
        <v>103</v>
      </c>
      <c r="AP42" s="41">
        <f t="shared" si="13"/>
        <v>211237.612610955</v>
      </c>
      <c r="AR42" s="41"/>
    </row>
    <row r="43" spans="1:44" x14ac:dyDescent="0.3">
      <c r="A43" s="89" t="s">
        <v>52</v>
      </c>
      <c r="B43" s="88">
        <f>IF(($A$12&gt;0),ROUND($A$12/SUM($A$9:$A$13),2),0)</f>
        <v>0</v>
      </c>
      <c r="C43" s="79"/>
      <c r="D43" s="42" t="s">
        <v>104</v>
      </c>
      <c r="E43" s="43">
        <v>351304.82061</v>
      </c>
      <c r="F43" s="43">
        <v>3171.7472061200001</v>
      </c>
      <c r="G43" s="43">
        <v>9781.1514253200003</v>
      </c>
      <c r="H43" s="43">
        <v>338351.92197899998</v>
      </c>
      <c r="I43" s="43">
        <v>0</v>
      </c>
      <c r="J43" s="44">
        <v>1933.13936356</v>
      </c>
      <c r="K43" s="35">
        <f t="shared" si="1"/>
        <v>326480.82749204</v>
      </c>
      <c r="L43" s="36">
        <f t="shared" si="2"/>
        <v>8.7414858767037081E-3</v>
      </c>
      <c r="M43" s="45">
        <v>5640</v>
      </c>
      <c r="N43" s="38">
        <f t="shared" si="3"/>
        <v>9.8834766145377531E-4</v>
      </c>
      <c r="O43" s="38">
        <f t="shared" si="4"/>
        <v>17.800260905993497</v>
      </c>
      <c r="P43" s="38">
        <f t="shared" si="5"/>
        <v>6.1987725018495723E-3</v>
      </c>
      <c r="Q43" s="76">
        <v>9937.9551229600002</v>
      </c>
      <c r="R43" s="43">
        <v>632.28226009699995</v>
      </c>
      <c r="S43" s="39">
        <f t="shared" si="6"/>
        <v>6.9449616514869594E-3</v>
      </c>
      <c r="T43" s="112">
        <f t="shared" si="7"/>
        <v>124594.9767209306</v>
      </c>
      <c r="U43" s="28">
        <f t="shared" si="8"/>
        <v>118342.46691245565</v>
      </c>
      <c r="V43" s="28" t="e">
        <f>(#REF!*$C$13)+$B$34</f>
        <v>#REF!</v>
      </c>
      <c r="W43" s="28" t="e">
        <f t="shared" si="9"/>
        <v>#REF!</v>
      </c>
      <c r="X43" s="28" t="e">
        <f t="shared" si="10"/>
        <v>#REF!</v>
      </c>
      <c r="Y43" s="28" t="e">
        <f t="shared" si="11"/>
        <v>#REF!</v>
      </c>
      <c r="Z43" s="28" t="e">
        <f t="shared" si="12"/>
        <v>#REF!</v>
      </c>
      <c r="AA43" s="16" t="e">
        <f t="shared" si="0"/>
        <v>#REF!</v>
      </c>
      <c r="AE43" s="41" t="e" cm="1">
        <f t="array" ref="AE43">_xlfn.IFS($V43&gt;$W$3,($W$3+$Y$101),$V43&lt;$X$3,($V43+$X43+$Y$101), $V43&lt;$W$3,$V43+$Y$101,$V43&gt;$X$3,$V43+$Y$101)</f>
        <v>#REF!</v>
      </c>
      <c r="AF43" s="41">
        <v>210107.67117683741</v>
      </c>
      <c r="AG43" s="41">
        <v>209620.32583442266</v>
      </c>
      <c r="AH43" s="41">
        <v>209299.45352685495</v>
      </c>
      <c r="AI43" s="41">
        <v>193247.59821702633</v>
      </c>
      <c r="AJ43" s="41">
        <v>224645.26515180021</v>
      </c>
      <c r="AK43" s="41">
        <v>231244.99158268163</v>
      </c>
      <c r="AL43" s="41">
        <v>237844.71801356305</v>
      </c>
      <c r="AM43" s="41">
        <v>241144.58122900373</v>
      </c>
      <c r="AN43" s="41"/>
      <c r="AO43" s="42" t="s">
        <v>104</v>
      </c>
      <c r="AP43" s="41">
        <f t="shared" si="13"/>
        <v>210107.67117683741</v>
      </c>
      <c r="AR43" s="41"/>
    </row>
    <row r="44" spans="1:44" x14ac:dyDescent="0.3">
      <c r="A44" s="90" t="s">
        <v>105</v>
      </c>
      <c r="B44" s="88">
        <f>IF(($A$13&gt;0),ROUND($A$13/SUM($A$9:$A$13),2),0)</f>
        <v>0.5</v>
      </c>
      <c r="C44" s="79"/>
      <c r="D44" s="32" t="s">
        <v>106</v>
      </c>
      <c r="E44" s="33">
        <v>462113.28159700002</v>
      </c>
      <c r="F44" s="33">
        <v>2284.0574379599998</v>
      </c>
      <c r="G44" s="33">
        <v>13725.5864595</v>
      </c>
      <c r="H44" s="33">
        <v>446103.63769900001</v>
      </c>
      <c r="I44" s="33">
        <v>0</v>
      </c>
      <c r="J44" s="34">
        <v>3623.9378461599999</v>
      </c>
      <c r="K44" s="35">
        <f t="shared" si="1"/>
        <v>435532.86944276997</v>
      </c>
      <c r="L44" s="36">
        <f t="shared" si="2"/>
        <v>1.1661341513743371E-2</v>
      </c>
      <c r="M44" s="37">
        <v>25269</v>
      </c>
      <c r="N44" s="38">
        <f t="shared" si="3"/>
        <v>4.4281129534176327E-3</v>
      </c>
      <c r="O44" s="38">
        <f t="shared" si="4"/>
        <v>29.344678233375241</v>
      </c>
      <c r="P44" s="38">
        <f t="shared" si="5"/>
        <v>1.0219006646549914E-2</v>
      </c>
      <c r="Q44" s="76">
        <v>6946.8304106100004</v>
      </c>
      <c r="R44" s="33">
        <v>559.65985074100001</v>
      </c>
      <c r="S44" s="39">
        <f t="shared" si="6"/>
        <v>6.147280173062067E-3</v>
      </c>
      <c r="T44" s="112">
        <f t="shared" si="7"/>
        <v>132923.0844590186</v>
      </c>
      <c r="U44" s="28">
        <f t="shared" si="8"/>
        <v>125974.01202725987</v>
      </c>
      <c r="V44" s="28" t="e">
        <f>(#REF!*$C$13)+$B$34</f>
        <v>#REF!</v>
      </c>
      <c r="W44" s="28" t="e">
        <f t="shared" si="9"/>
        <v>#REF!</v>
      </c>
      <c r="X44" s="28" t="e">
        <f t="shared" si="10"/>
        <v>#REF!</v>
      </c>
      <c r="Y44" s="28" t="e">
        <f t="shared" si="11"/>
        <v>#REF!</v>
      </c>
      <c r="Z44" s="28" t="e">
        <f t="shared" si="12"/>
        <v>#REF!</v>
      </c>
      <c r="AA44" s="16" t="e">
        <f t="shared" si="0"/>
        <v>#REF!</v>
      </c>
      <c r="AE44" s="41" t="e" cm="1">
        <f t="array" ref="AE44">_xlfn.IFS($V44&gt;$W$3,($W$3+$Y$101),$V44&lt;$X$3,($V44+$X44+$Y$101), $V44&lt;$W$3,$V44+$Y$101,$V44&gt;$X$3,$V44+$Y$101)</f>
        <v>#REF!</v>
      </c>
      <c r="AF44" s="41">
        <v>227017.00156756319</v>
      </c>
      <c r="AG44" s="41">
        <v>230402.72995664622</v>
      </c>
      <c r="AH44" s="41">
        <v>226871.94674487814</v>
      </c>
      <c r="AI44" s="41">
        <v>214032.9790868627</v>
      </c>
      <c r="AJ44" s="41">
        <v>241522.68631420308</v>
      </c>
      <c r="AK44" s="41">
        <v>242496.60569095021</v>
      </c>
      <c r="AL44" s="41">
        <v>243470.52506769734</v>
      </c>
      <c r="AM44" s="41">
        <v>243957.48475607089</v>
      </c>
      <c r="AN44" s="41"/>
      <c r="AO44" s="32" t="s">
        <v>106</v>
      </c>
      <c r="AP44" s="41">
        <f t="shared" si="13"/>
        <v>227017.00156756319</v>
      </c>
      <c r="AR44" s="41"/>
    </row>
    <row r="45" spans="1:44" ht="15" thickBot="1" x14ac:dyDescent="0.35">
      <c r="A45" s="91" t="s">
        <v>107</v>
      </c>
      <c r="B45" s="92">
        <f>SUM($B$40:$B$44)</f>
        <v>1</v>
      </c>
      <c r="C45" s="79"/>
      <c r="D45" s="42" t="s">
        <v>108</v>
      </c>
      <c r="E45" s="43">
        <v>373431.99242199998</v>
      </c>
      <c r="F45" s="43">
        <v>9476.5263920599991</v>
      </c>
      <c r="G45" s="43">
        <v>36602.122866099999</v>
      </c>
      <c r="H45" s="43">
        <v>327353.34316400002</v>
      </c>
      <c r="I45" s="43">
        <v>44882.624308500002</v>
      </c>
      <c r="J45" s="44">
        <v>912.33755223200001</v>
      </c>
      <c r="K45" s="35">
        <f t="shared" si="1"/>
        <v>261530.57510830797</v>
      </c>
      <c r="L45" s="36">
        <f t="shared" si="2"/>
        <v>7.0024504844506136E-3</v>
      </c>
      <c r="M45" s="45">
        <v>5411</v>
      </c>
      <c r="N45" s="38">
        <f t="shared" si="3"/>
        <v>9.4821794257559896E-4</v>
      </c>
      <c r="O45" s="38">
        <f t="shared" si="4"/>
        <v>17.5560110144317</v>
      </c>
      <c r="P45" s="38">
        <f t="shared" si="5"/>
        <v>6.1137147872807251E-3</v>
      </c>
      <c r="Q45" s="76">
        <v>20027.8061948</v>
      </c>
      <c r="R45" s="43">
        <v>1052.8461447300001</v>
      </c>
      <c r="S45" s="39">
        <f t="shared" si="6"/>
        <v>1.1564417605111982E-2</v>
      </c>
      <c r="T45" s="112">
        <f t="shared" si="7"/>
        <v>122406.06499274427</v>
      </c>
      <c r="U45" s="28">
        <f t="shared" si="8"/>
        <v>116207.46877909813</v>
      </c>
      <c r="V45" s="28" t="e">
        <f>(#REF!*$C$13)+$B$34</f>
        <v>#REF!</v>
      </c>
      <c r="W45" s="28" t="e">
        <f t="shared" si="9"/>
        <v>#REF!</v>
      </c>
      <c r="X45" s="28" t="e">
        <f t="shared" si="10"/>
        <v>#REF!</v>
      </c>
      <c r="Y45" s="28" t="e">
        <f t="shared" si="11"/>
        <v>#REF!</v>
      </c>
      <c r="Z45" s="28" t="e">
        <f t="shared" si="12"/>
        <v>#REF!</v>
      </c>
      <c r="AA45" s="16" t="e">
        <f t="shared" si="0"/>
        <v>#REF!</v>
      </c>
      <c r="AE45" s="41" t="e" cm="1">
        <f t="array" ref="AE45">_xlfn.IFS($V45&gt;$W$3,($W$3+$Y$101),$V45&lt;$X$3,($V45+$X45+$Y$101), $V45&lt;$W$3,$V45+$Y$101,$V45&gt;$X$3,$V45+$Y$101)</f>
        <v>#REF!</v>
      </c>
      <c r="AF45" s="41">
        <v>209049.165372591</v>
      </c>
      <c r="AG45" s="41">
        <v>208561.82003017626</v>
      </c>
      <c r="AH45" s="41">
        <v>208240.94772260854</v>
      </c>
      <c r="AI45" s="41">
        <v>192600.39297591805</v>
      </c>
      <c r="AJ45" s="41">
        <v>223057.5064454306</v>
      </c>
      <c r="AK45" s="41">
        <v>230186.48577843522</v>
      </c>
      <c r="AL45" s="41">
        <v>237315.46511143981</v>
      </c>
      <c r="AM45" s="41">
        <v>240879.95477794213</v>
      </c>
      <c r="AN45" s="41"/>
      <c r="AO45" s="42" t="s">
        <v>108</v>
      </c>
      <c r="AP45" s="41">
        <f t="shared" si="13"/>
        <v>209049.165372591</v>
      </c>
      <c r="AR45" s="41"/>
    </row>
    <row r="46" spans="1:44" x14ac:dyDescent="0.3">
      <c r="A46" s="79"/>
      <c r="B46" s="79"/>
      <c r="C46" s="93"/>
      <c r="D46" s="32" t="s">
        <v>109</v>
      </c>
      <c r="E46" s="33">
        <v>1160599.5840100001</v>
      </c>
      <c r="F46" s="33">
        <v>58742.949508799997</v>
      </c>
      <c r="G46" s="33">
        <v>121269.29265600001</v>
      </c>
      <c r="H46" s="33">
        <v>980587.34184600005</v>
      </c>
      <c r="I46" s="33">
        <v>88.626888299100003</v>
      </c>
      <c r="J46" s="34">
        <v>2980.5262248099998</v>
      </c>
      <c r="K46" s="35">
        <f t="shared" si="1"/>
        <v>916235.49955849105</v>
      </c>
      <c r="L46" s="36">
        <f t="shared" si="2"/>
        <v>2.4532098073417167E-2</v>
      </c>
      <c r="M46" s="37">
        <v>9040</v>
      </c>
      <c r="N46" s="38">
        <f t="shared" si="3"/>
        <v>1.5841600814791008E-3</v>
      </c>
      <c r="O46" s="38">
        <f t="shared" si="4"/>
        <v>20.83160874613117</v>
      </c>
      <c r="P46" s="38">
        <f t="shared" si="5"/>
        <v>7.254410716043362E-3</v>
      </c>
      <c r="Q46" s="76">
        <v>61282.689173600003</v>
      </c>
      <c r="R46" s="33">
        <v>1261.46255873</v>
      </c>
      <c r="S46" s="39">
        <f t="shared" si="6"/>
        <v>1.3855851489210608E-2</v>
      </c>
      <c r="T46" s="112">
        <f t="shared" si="7"/>
        <v>144810.47721401931</v>
      </c>
      <c r="U46" s="28">
        <f t="shared" si="8"/>
        <v>138006.17645254219</v>
      </c>
      <c r="V46" s="28" t="e">
        <f>(#REF!*$C$13)+$B$34</f>
        <v>#REF!</v>
      </c>
      <c r="W46" s="28" t="e">
        <f t="shared" si="9"/>
        <v>#REF!</v>
      </c>
      <c r="X46" s="28" t="e">
        <f t="shared" si="10"/>
        <v>#REF!</v>
      </c>
      <c r="Y46" s="28" t="e">
        <f t="shared" si="11"/>
        <v>#REF!</v>
      </c>
      <c r="Z46" s="28" t="e">
        <f t="shared" si="12"/>
        <v>#REF!</v>
      </c>
      <c r="AA46" s="16" t="e">
        <f t="shared" si="0"/>
        <v>#REF!</v>
      </c>
      <c r="AE46" s="41" t="e" cm="1">
        <f t="array" ref="AE46">_xlfn.IFS($V46&gt;$W$3,($W$3+$Y$101),$V46&lt;$X$3,($V46+$X46+$Y$101), $V46&lt;$W$3,$V46+$Y$101,$V46&gt;$X$3,$V46+$Y$101)</f>
        <v>#REF!</v>
      </c>
      <c r="AF46" s="41">
        <v>278128.96031958086</v>
      </c>
      <c r="AG46" s="41">
        <v>277641.61497716611</v>
      </c>
      <c r="AH46" s="41">
        <v>277320.74266959843</v>
      </c>
      <c r="AI46" s="41">
        <v>229895.59541367862</v>
      </c>
      <c r="AJ46" s="41">
        <v>326677.19886591542</v>
      </c>
      <c r="AK46" s="41">
        <v>299266.28072542511</v>
      </c>
      <c r="AL46" s="41">
        <v>271855.36258493474</v>
      </c>
      <c r="AM46" s="41">
        <v>258149.90351468959</v>
      </c>
      <c r="AN46" s="41"/>
      <c r="AO46" s="32" t="s">
        <v>109</v>
      </c>
      <c r="AP46" s="41">
        <f t="shared" si="13"/>
        <v>278128.96031958086</v>
      </c>
      <c r="AR46" s="41"/>
    </row>
    <row r="47" spans="1:44" x14ac:dyDescent="0.3">
      <c r="A47" s="79" t="s">
        <v>110</v>
      </c>
      <c r="B47" s="94" t="s">
        <v>111</v>
      </c>
      <c r="C47" s="79" t="s">
        <v>112</v>
      </c>
      <c r="D47" s="42" t="s">
        <v>113</v>
      </c>
      <c r="E47" s="43">
        <v>466624.51529000001</v>
      </c>
      <c r="F47" s="43">
        <v>546.07813582599999</v>
      </c>
      <c r="G47" s="43">
        <v>4722.0202666699997</v>
      </c>
      <c r="H47" s="43">
        <v>461356.41688799998</v>
      </c>
      <c r="I47" s="43">
        <v>0</v>
      </c>
      <c r="J47" s="44">
        <v>2425.3695979499998</v>
      </c>
      <c r="K47" s="35">
        <f t="shared" si="1"/>
        <v>445186.92294565402</v>
      </c>
      <c r="L47" s="36">
        <f t="shared" si="2"/>
        <v>1.1919827664359551E-2</v>
      </c>
      <c r="M47" s="45">
        <v>20025</v>
      </c>
      <c r="N47" s="38">
        <f t="shared" si="3"/>
        <v>3.509159915002101E-3</v>
      </c>
      <c r="O47" s="38">
        <f t="shared" si="4"/>
        <v>27.155481530090832</v>
      </c>
      <c r="P47" s="38">
        <f t="shared" si="5"/>
        <v>9.4566396005202752E-3</v>
      </c>
      <c r="Q47" s="76">
        <v>13744.124343900001</v>
      </c>
      <c r="R47" s="43">
        <v>636.54547879500001</v>
      </c>
      <c r="S47" s="39">
        <f t="shared" si="6"/>
        <v>6.9917886656830725E-3</v>
      </c>
      <c r="T47" s="112">
        <f t="shared" si="7"/>
        <v>132318.42738452245</v>
      </c>
      <c r="U47" s="28">
        <f t="shared" si="8"/>
        <v>125181.45176190065</v>
      </c>
      <c r="V47" s="28" t="e">
        <f>(#REF!*$C$13)+$B$34</f>
        <v>#REF!</v>
      </c>
      <c r="W47" s="28" t="e">
        <f t="shared" si="9"/>
        <v>#REF!</v>
      </c>
      <c r="X47" s="28" t="e">
        <f t="shared" si="10"/>
        <v>#REF!</v>
      </c>
      <c r="Y47" s="28" t="e">
        <f t="shared" si="11"/>
        <v>#REF!</v>
      </c>
      <c r="Z47" s="28" t="e">
        <f t="shared" si="12"/>
        <v>#REF!</v>
      </c>
      <c r="AA47" s="16" t="e">
        <f t="shared" si="0"/>
        <v>#REF!</v>
      </c>
      <c r="AE47" s="41" t="e" cm="1">
        <f t="array" ref="AE47">_xlfn.IFS($V47&gt;$W$3,($W$3+$Y$101),$V47&lt;$X$3,($V47+$X47+$Y$101), $V47&lt;$W$3,$V47+$Y$101,$V47&gt;$X$3,$V47+$Y$101)</f>
        <v>#REF!</v>
      </c>
      <c r="AF47" s="41">
        <v>228762.26474020621</v>
      </c>
      <c r="AG47" s="41">
        <v>226021.11094200535</v>
      </c>
      <c r="AH47" s="41">
        <v>228617.20991752116</v>
      </c>
      <c r="AI47" s="41">
        <v>210807.34509119316</v>
      </c>
      <c r="AJ47" s="41">
        <v>244140.58107316762</v>
      </c>
      <c r="AK47" s="41">
        <v>244241.86886359323</v>
      </c>
      <c r="AL47" s="41">
        <v>244343.15665401885</v>
      </c>
      <c r="AM47" s="41">
        <v>244393.80054923164</v>
      </c>
      <c r="AN47" s="41"/>
      <c r="AO47" s="42" t="s">
        <v>113</v>
      </c>
      <c r="AP47" s="41">
        <f t="shared" si="13"/>
        <v>228762.26474020621</v>
      </c>
      <c r="AR47" s="41"/>
    </row>
    <row r="48" spans="1:44" x14ac:dyDescent="0.3">
      <c r="A48" s="80" t="s">
        <v>114</v>
      </c>
      <c r="B48" s="81">
        <v>168251</v>
      </c>
      <c r="C48" s="95">
        <f>B48/$B$52</f>
        <v>2.9479504551030253E-2</v>
      </c>
      <c r="D48" s="32" t="s">
        <v>115</v>
      </c>
      <c r="E48" s="33">
        <v>323344.83026900003</v>
      </c>
      <c r="F48" s="33">
        <v>1858.1809014600001</v>
      </c>
      <c r="G48" s="33">
        <v>3857.2681384000002</v>
      </c>
      <c r="H48" s="33">
        <v>317629.38122899999</v>
      </c>
      <c r="I48" s="33">
        <v>0</v>
      </c>
      <c r="J48" s="34">
        <v>2832.3056493099998</v>
      </c>
      <c r="K48" s="35">
        <f t="shared" si="1"/>
        <v>302998.70709913003</v>
      </c>
      <c r="L48" s="36">
        <f t="shared" si="2"/>
        <v>8.1127548564275381E-3</v>
      </c>
      <c r="M48" s="37">
        <v>36771</v>
      </c>
      <c r="N48" s="38">
        <f t="shared" si="3"/>
        <v>6.4437113225738959E-3</v>
      </c>
      <c r="O48" s="38">
        <f t="shared" si="4"/>
        <v>33.253330361574633</v>
      </c>
      <c r="P48" s="38">
        <f t="shared" si="5"/>
        <v>1.1580157781330199E-2</v>
      </c>
      <c r="Q48" s="76">
        <v>11798.368480700001</v>
      </c>
      <c r="R48" s="33">
        <v>512.62155013300003</v>
      </c>
      <c r="S48" s="39">
        <f t="shared" si="6"/>
        <v>5.6306134650263885E-3</v>
      </c>
      <c r="T48" s="112">
        <f t="shared" si="7"/>
        <v>130298.16183197596</v>
      </c>
      <c r="U48" s="28">
        <f t="shared" si="8"/>
        <v>124134.42608146839</v>
      </c>
      <c r="V48" s="28" t="e">
        <f>(#REF!*$C$13)+$B$34</f>
        <v>#REF!</v>
      </c>
      <c r="W48" s="28" t="e">
        <f t="shared" si="9"/>
        <v>#REF!</v>
      </c>
      <c r="X48" s="28" t="e">
        <f t="shared" si="10"/>
        <v>#REF!</v>
      </c>
      <c r="Y48" s="28" t="e">
        <f t="shared" si="11"/>
        <v>#REF!</v>
      </c>
      <c r="Z48" s="28" t="e">
        <f t="shared" si="12"/>
        <v>#REF!</v>
      </c>
      <c r="AA48" s="16" t="e">
        <f t="shared" si="0"/>
        <v>#REF!</v>
      </c>
      <c r="AE48" s="41" t="e" cm="1">
        <f t="array" ref="AE48">_xlfn.IFS($V48&gt;$W$3,($W$3+$Y$101),$V48&lt;$X$3,($V48+$X48+$Y$101), $V48&lt;$W$3,$V48+$Y$101,$V48&gt;$X$3,$V48+$Y$101)</f>
        <v>#REF!</v>
      </c>
      <c r="AF48" s="41">
        <v>265568.14843333449</v>
      </c>
      <c r="AG48" s="41">
        <v>216857.34816979931</v>
      </c>
      <c r="AH48" s="41">
        <v>219519.01992528519</v>
      </c>
      <c r="AI48" s="41">
        <v>216129.07059660426</v>
      </c>
      <c r="AJ48" s="41">
        <v>221204.61363393269</v>
      </c>
      <c r="AK48" s="41">
        <v>228951.2239041033</v>
      </c>
      <c r="AL48" s="41">
        <v>236697.83417427386</v>
      </c>
      <c r="AM48" s="41">
        <v>240571.13930935916</v>
      </c>
      <c r="AN48" s="41"/>
      <c r="AO48" s="32" t="s">
        <v>115</v>
      </c>
      <c r="AP48" s="41">
        <f t="shared" si="13"/>
        <v>265568.14843333449</v>
      </c>
      <c r="AR48" s="41"/>
    </row>
    <row r="49" spans="1:44" x14ac:dyDescent="0.3">
      <c r="A49" s="80" t="s">
        <v>116</v>
      </c>
      <c r="B49" s="81">
        <v>355210</v>
      </c>
      <c r="C49" s="95">
        <f t="shared" ref="C49:C51" si="16">B49/$B$52</f>
        <v>6.2236865228565988E-2</v>
      </c>
      <c r="D49" s="42" t="s">
        <v>117</v>
      </c>
      <c r="E49" s="43">
        <v>412412.76971399999</v>
      </c>
      <c r="F49" s="43">
        <v>5204.4208952600002</v>
      </c>
      <c r="G49" s="43">
        <v>4772.92018276</v>
      </c>
      <c r="H49" s="43">
        <v>402435.42863600003</v>
      </c>
      <c r="I49" s="43">
        <v>0</v>
      </c>
      <c r="J49" s="44">
        <v>2139.3867780300002</v>
      </c>
      <c r="K49" s="35">
        <f t="shared" si="1"/>
        <v>369941.84487604996</v>
      </c>
      <c r="L49" s="36">
        <f t="shared" si="2"/>
        <v>9.9051495214203655E-3</v>
      </c>
      <c r="M49" s="45">
        <v>23400</v>
      </c>
      <c r="N49" s="38">
        <f t="shared" si="3"/>
        <v>4.1005913613507703E-3</v>
      </c>
      <c r="O49" s="38">
        <f t="shared" si="4"/>
        <v>28.602585059832304</v>
      </c>
      <c r="P49" s="38">
        <f t="shared" si="5"/>
        <v>9.9605797177390355E-3</v>
      </c>
      <c r="Q49" s="76">
        <v>30354.196981900001</v>
      </c>
      <c r="R49" s="43">
        <v>948.68971797500001</v>
      </c>
      <c r="S49" s="39">
        <f t="shared" si="6"/>
        <v>1.0420367810865956E-2</v>
      </c>
      <c r="T49" s="112">
        <f t="shared" si="7"/>
        <v>130505.54175365795</v>
      </c>
      <c r="U49" s="28">
        <f t="shared" si="8"/>
        <v>123473.55572599203</v>
      </c>
      <c r="V49" s="28" t="e">
        <f>(#REF!*$C$13)+$B$34</f>
        <v>#REF!</v>
      </c>
      <c r="W49" s="28" t="e">
        <f t="shared" si="9"/>
        <v>#REF!</v>
      </c>
      <c r="X49" s="28" t="e">
        <f t="shared" si="10"/>
        <v>#REF!</v>
      </c>
      <c r="Y49" s="28" t="e">
        <f t="shared" si="11"/>
        <v>#REF!</v>
      </c>
      <c r="Z49" s="28" t="e">
        <f t="shared" si="12"/>
        <v>#REF!</v>
      </c>
      <c r="AA49" s="16" t="e">
        <f t="shared" si="0"/>
        <v>#REF!</v>
      </c>
      <c r="AE49" s="41" t="e" cm="1">
        <f t="array" ref="AE49">_xlfn.IFS($V49&gt;$W$3,($W$3+$Y$101),$V49&lt;$X$3,($V49+$X49+$Y$101), $V49&lt;$W$3,$V49+$Y$101,$V49&gt;$X$3,$V49+$Y$101)</f>
        <v>#REF!</v>
      </c>
      <c r="AF49" s="41">
        <v>222541.89184950391</v>
      </c>
      <c r="AG49" s="41">
        <v>225927.62023858694</v>
      </c>
      <c r="AH49" s="41">
        <v>222396.83702681886</v>
      </c>
      <c r="AI49" s="41">
        <v>210365.34848392912</v>
      </c>
      <c r="AJ49" s="41">
        <v>234810.02173711415</v>
      </c>
      <c r="AK49" s="41">
        <v>238021.49597289093</v>
      </c>
      <c r="AL49" s="41">
        <v>241232.97020866768</v>
      </c>
      <c r="AM49" s="41">
        <v>242838.70732655606</v>
      </c>
      <c r="AN49" s="41"/>
      <c r="AO49" s="42" t="s">
        <v>117</v>
      </c>
      <c r="AP49" s="41">
        <f t="shared" si="13"/>
        <v>222541.89184950391</v>
      </c>
      <c r="AR49" s="41"/>
    </row>
    <row r="50" spans="1:44" x14ac:dyDescent="0.3">
      <c r="A50" s="80" t="s">
        <v>118</v>
      </c>
      <c r="B50" s="81">
        <v>704895</v>
      </c>
      <c r="C50" s="95">
        <f t="shared" si="16"/>
        <v>0.12350568710140486</v>
      </c>
      <c r="D50" s="32" t="s">
        <v>119</v>
      </c>
      <c r="E50" s="33">
        <v>435736.877722</v>
      </c>
      <c r="F50" s="33">
        <v>411.29730854399997</v>
      </c>
      <c r="G50" s="33">
        <v>69233.506287700002</v>
      </c>
      <c r="H50" s="33">
        <v>366092.07412599999</v>
      </c>
      <c r="I50" s="33">
        <v>7775.1503239200001</v>
      </c>
      <c r="J50" s="34">
        <v>1768.12033729</v>
      </c>
      <c r="K50" s="35">
        <f t="shared" si="1"/>
        <v>285211.42955514597</v>
      </c>
      <c r="L50" s="36">
        <f t="shared" si="2"/>
        <v>7.636502585719432E-3</v>
      </c>
      <c r="M50" s="37">
        <v>26459</v>
      </c>
      <c r="N50" s="38">
        <f t="shared" si="3"/>
        <v>4.6366473004264969E-3</v>
      </c>
      <c r="O50" s="38">
        <f t="shared" si="4"/>
        <v>29.798276254211878</v>
      </c>
      <c r="P50" s="38">
        <f t="shared" si="5"/>
        <v>1.0376967867079485E-2</v>
      </c>
      <c r="Q50" s="76">
        <v>71337.373909400005</v>
      </c>
      <c r="R50" s="33">
        <v>517.10013823400004</v>
      </c>
      <c r="S50" s="39">
        <f t="shared" si="6"/>
        <v>5.679806087652681E-3</v>
      </c>
      <c r="T50" s="112">
        <f t="shared" si="7"/>
        <v>128282.83121002537</v>
      </c>
      <c r="U50" s="28">
        <f t="shared" si="8"/>
        <v>121394.44653004178</v>
      </c>
      <c r="V50" s="28" t="e">
        <f>(#REF!*$C$13)+$B$34</f>
        <v>#REF!</v>
      </c>
      <c r="W50" s="28" t="e">
        <f t="shared" si="9"/>
        <v>#REF!</v>
      </c>
      <c r="X50" s="28" t="e">
        <f t="shared" si="10"/>
        <v>#REF!</v>
      </c>
      <c r="Y50" s="28" t="e">
        <f t="shared" si="11"/>
        <v>#REF!</v>
      </c>
      <c r="Z50" s="28" t="e">
        <f t="shared" si="12"/>
        <v>#REF!</v>
      </c>
      <c r="AA50" s="16" t="e">
        <f t="shared" si="0"/>
        <v>#REF!</v>
      </c>
      <c r="AE50" s="41" t="e" cm="1">
        <f t="array" ref="AE50">_xlfn.IFS($V50&gt;$W$3,($W$3+$Y$101),$V50&lt;$X$3,($V50+$X50+$Y$101), $V50&lt;$W$3,$V50+$Y$101,$V50&gt;$X$3,$V50+$Y$101)</f>
        <v>#REF!</v>
      </c>
      <c r="AF50" s="41">
        <v>218725.7448260269</v>
      </c>
      <c r="AG50" s="41">
        <v>222111.47321510993</v>
      </c>
      <c r="AH50" s="41">
        <v>218580.69000334185</v>
      </c>
      <c r="AI50" s="41">
        <v>211148.59271988264</v>
      </c>
      <c r="AJ50" s="41">
        <v>229085.8012018986</v>
      </c>
      <c r="AK50" s="41">
        <v>234205.34894941392</v>
      </c>
      <c r="AL50" s="41">
        <v>239324.89669692918</v>
      </c>
      <c r="AM50" s="41">
        <v>241884.67057068681</v>
      </c>
      <c r="AN50" s="41"/>
      <c r="AO50" s="32" t="s">
        <v>119</v>
      </c>
      <c r="AP50" s="41">
        <f t="shared" si="13"/>
        <v>218725.7448260269</v>
      </c>
      <c r="AR50" s="41"/>
    </row>
    <row r="51" spans="1:44" x14ac:dyDescent="0.3">
      <c r="A51" s="80" t="s">
        <v>120</v>
      </c>
      <c r="B51" s="81">
        <v>4479033</v>
      </c>
      <c r="C51" s="95">
        <f t="shared" si="16"/>
        <v>0.78477794311899884</v>
      </c>
      <c r="D51" s="42" t="s">
        <v>121</v>
      </c>
      <c r="E51" s="43">
        <v>737713.44823400001</v>
      </c>
      <c r="F51" s="43">
        <v>2320.0239628499999</v>
      </c>
      <c r="G51" s="43">
        <v>65290.554608300001</v>
      </c>
      <c r="H51" s="43">
        <v>670102.86966299999</v>
      </c>
      <c r="I51" s="43">
        <v>3701.5660084199999</v>
      </c>
      <c r="J51" s="44">
        <v>3575.89042728</v>
      </c>
      <c r="K51" s="35">
        <f t="shared" si="1"/>
        <v>648803.75993855007</v>
      </c>
      <c r="L51" s="36">
        <f t="shared" si="2"/>
        <v>1.7371644601070418E-2</v>
      </c>
      <c r="M51" s="45">
        <v>34010</v>
      </c>
      <c r="N51" s="38">
        <f t="shared" si="3"/>
        <v>5.9598765897239184E-3</v>
      </c>
      <c r="O51" s="38">
        <f t="shared" si="4"/>
        <v>32.399293791445587</v>
      </c>
      <c r="P51" s="38">
        <f t="shared" si="5"/>
        <v>1.128274762344272E-2</v>
      </c>
      <c r="Q51" s="76">
        <v>14021.6532886</v>
      </c>
      <c r="R51" s="43">
        <v>895.15467677599997</v>
      </c>
      <c r="S51" s="39">
        <f t="shared" si="6"/>
        <v>9.8323411784553109E-3</v>
      </c>
      <c r="T51" s="112">
        <f t="shared" si="7"/>
        <v>141051.93733608245</v>
      </c>
      <c r="U51" s="28">
        <f t="shared" si="8"/>
        <v>134664.49209561988</v>
      </c>
      <c r="V51" s="28" t="e">
        <f>(#REF!*$C$13)+$B$34</f>
        <v>#REF!</v>
      </c>
      <c r="W51" s="28" t="e">
        <f t="shared" si="9"/>
        <v>#REF!</v>
      </c>
      <c r="X51" s="28" t="e">
        <f t="shared" si="10"/>
        <v>#REF!</v>
      </c>
      <c r="Y51" s="28" t="e">
        <f t="shared" si="11"/>
        <v>#REF!</v>
      </c>
      <c r="Z51" s="28" t="e">
        <f t="shared" si="12"/>
        <v>#REF!</v>
      </c>
      <c r="AA51" s="16" t="e">
        <f t="shared" si="0"/>
        <v>#REF!</v>
      </c>
      <c r="AE51" s="41" t="e" cm="1">
        <f t="array" ref="AE51">_xlfn.IFS($V51&gt;$W$3,($W$3+$Y$101),$V51&lt;$X$3,($V51+$X51+$Y$101), $V51&lt;$W$3,$V51+$Y$101,$V51&gt;$X$3,$V51+$Y$101)</f>
        <v>#REF!</v>
      </c>
      <c r="AF51" s="41">
        <v>250785.35653992256</v>
      </c>
      <c r="AG51" s="41">
        <v>254171.08492900559</v>
      </c>
      <c r="AH51" s="41">
        <v>256832.75668449147</v>
      </c>
      <c r="AI51" s="41">
        <v>232671.27710799794</v>
      </c>
      <c r="AJ51" s="41">
        <v>277175.21877274208</v>
      </c>
      <c r="AK51" s="41">
        <v>266264.96066330955</v>
      </c>
      <c r="AL51" s="41">
        <v>255354.702553877</v>
      </c>
      <c r="AM51" s="41">
        <v>249899.57349916073</v>
      </c>
      <c r="AN51" s="41"/>
      <c r="AO51" s="42" t="s">
        <v>121</v>
      </c>
      <c r="AP51" s="41">
        <f t="shared" si="13"/>
        <v>250785.35653992256</v>
      </c>
      <c r="AR51" s="41"/>
    </row>
    <row r="52" spans="1:44" x14ac:dyDescent="0.3">
      <c r="A52" s="96" t="s">
        <v>122</v>
      </c>
      <c r="B52" s="83">
        <f>SUM(B48:B51)</f>
        <v>5707389</v>
      </c>
      <c r="C52" s="95">
        <f>SUM(C48:C51)</f>
        <v>1</v>
      </c>
      <c r="D52" s="32" t="s">
        <v>123</v>
      </c>
      <c r="E52" s="33">
        <v>455011.56692999997</v>
      </c>
      <c r="F52" s="33">
        <v>146.53302004700001</v>
      </c>
      <c r="G52" s="33">
        <v>3346.3199249099998</v>
      </c>
      <c r="H52" s="33">
        <v>451518.71398499998</v>
      </c>
      <c r="I52" s="33">
        <v>0</v>
      </c>
      <c r="J52" s="34">
        <v>2989.8696977</v>
      </c>
      <c r="K52" s="35">
        <f t="shared" si="1"/>
        <v>448321.67419055395</v>
      </c>
      <c r="L52" s="36">
        <f t="shared" si="2"/>
        <v>1.2003760261396787E-2</v>
      </c>
      <c r="M52" s="37">
        <v>40029</v>
      </c>
      <c r="N52" s="38">
        <f t="shared" si="3"/>
        <v>7.0146398121158108E-3</v>
      </c>
      <c r="O52" s="38">
        <f t="shared" si="4"/>
        <v>34.207781820733402</v>
      </c>
      <c r="P52" s="38">
        <f t="shared" si="5"/>
        <v>1.1912536474576851E-2</v>
      </c>
      <c r="Q52" s="76">
        <v>207.17009678900001</v>
      </c>
      <c r="R52" s="33">
        <v>429.93661612</v>
      </c>
      <c r="S52" s="39">
        <f t="shared" si="6"/>
        <v>4.7224056405843129E-3</v>
      </c>
      <c r="T52" s="112">
        <f t="shared" si="7"/>
        <v>135366.22274983503</v>
      </c>
      <c r="U52" s="28">
        <f t="shared" si="8"/>
        <v>129488.74675488178</v>
      </c>
      <c r="V52" s="28" t="e">
        <f>(#REF!*$C$13)+$B$34</f>
        <v>#REF!</v>
      </c>
      <c r="W52" s="28" t="e">
        <f t="shared" si="9"/>
        <v>#REF!</v>
      </c>
      <c r="X52" s="28" t="e">
        <f t="shared" si="10"/>
        <v>#REF!</v>
      </c>
      <c r="Y52" s="28" t="e">
        <f t="shared" si="11"/>
        <v>#REF!</v>
      </c>
      <c r="Z52" s="28" t="e">
        <f t="shared" si="12"/>
        <v>#REF!</v>
      </c>
      <c r="AA52" s="16" t="e">
        <f t="shared" si="0"/>
        <v>#REF!</v>
      </c>
      <c r="AE52" s="41" t="e" cm="1">
        <f t="array" ref="AE52">_xlfn.IFS($V52&gt;$W$3,($W$3+$Y$101),$V52&lt;$X$3,($V52+$X52+$Y$101), $V52&lt;$W$3,$V52+$Y$101,$V52&gt;$X$3,$V52+$Y$101)</f>
        <v>#REF!</v>
      </c>
      <c r="AF52" s="41">
        <v>279755.26178943756</v>
      </c>
      <c r="AG52" s="41">
        <v>231044.46152590238</v>
      </c>
      <c r="AH52" s="41">
        <v>233706.13328138826</v>
      </c>
      <c r="AI52" s="41">
        <v>225861.5217605767</v>
      </c>
      <c r="AJ52" s="41">
        <v>242485.2836680873</v>
      </c>
      <c r="AK52" s="41">
        <v>243138.33726020638</v>
      </c>
      <c r="AL52" s="41">
        <v>243791.39085232539</v>
      </c>
      <c r="AM52" s="41">
        <v>244117.91764838493</v>
      </c>
      <c r="AN52" s="41"/>
      <c r="AO52" s="32" t="s">
        <v>123</v>
      </c>
      <c r="AP52" s="41">
        <f t="shared" si="13"/>
        <v>279755.26178943756</v>
      </c>
      <c r="AR52" s="41"/>
    </row>
    <row r="53" spans="1:44" x14ac:dyDescent="0.3">
      <c r="A53" s="79"/>
      <c r="B53" s="79"/>
      <c r="C53" s="79"/>
      <c r="D53" s="42" t="s">
        <v>124</v>
      </c>
      <c r="E53" s="43">
        <v>460646.42764800001</v>
      </c>
      <c r="F53" s="43">
        <v>3163.33091285</v>
      </c>
      <c r="G53" s="43">
        <v>13853.0584669</v>
      </c>
      <c r="H53" s="43">
        <v>443630.038268</v>
      </c>
      <c r="I53" s="43">
        <v>0</v>
      </c>
      <c r="J53" s="44">
        <v>977.58962658200005</v>
      </c>
      <c r="K53" s="35">
        <f t="shared" si="1"/>
        <v>429738.98961136804</v>
      </c>
      <c r="L53" s="36">
        <f t="shared" si="2"/>
        <v>1.1506211060581452E-2</v>
      </c>
      <c r="M53" s="45">
        <v>8179</v>
      </c>
      <c r="N53" s="38">
        <f t="shared" si="3"/>
        <v>1.4332793480550405E-3</v>
      </c>
      <c r="O53" s="38">
        <f t="shared" si="4"/>
        <v>20.148067758407194</v>
      </c>
      <c r="P53" s="38">
        <f t="shared" si="5"/>
        <v>7.0163740321448802E-3</v>
      </c>
      <c r="Q53" s="76">
        <v>12913.4590303</v>
      </c>
      <c r="R53" s="43">
        <v>773.36075960400001</v>
      </c>
      <c r="S53" s="39">
        <f t="shared" si="6"/>
        <v>8.494561934080885E-3</v>
      </c>
      <c r="T53" s="112">
        <f t="shared" si="7"/>
        <v>128893.76877793827</v>
      </c>
      <c r="U53" s="28">
        <f t="shared" si="8"/>
        <v>122194.05515703047</v>
      </c>
      <c r="V53" s="28" t="e">
        <f>(#REF!*$C$13)+$B$34</f>
        <v>#REF!</v>
      </c>
      <c r="W53" s="28" t="e">
        <f t="shared" si="9"/>
        <v>#REF!</v>
      </c>
      <c r="X53" s="28" t="e">
        <f t="shared" si="10"/>
        <v>#REF!</v>
      </c>
      <c r="Y53" s="28" t="e">
        <f t="shared" si="11"/>
        <v>#REF!</v>
      </c>
      <c r="Z53" s="28" t="e">
        <f t="shared" si="12"/>
        <v>#REF!</v>
      </c>
      <c r="AA53" s="16" t="e">
        <f t="shared" si="0"/>
        <v>#REF!</v>
      </c>
      <c r="AE53" s="41" t="e" cm="1">
        <f t="array" ref="AE53">_xlfn.IFS($V53&gt;$W$3,($W$3+$Y$101),$V53&lt;$X$3,($V53+$X53+$Y$101), $V53&lt;$W$3,$V53+$Y$101,$V53&gt;$X$3,$V53+$Y$101)</f>
        <v>#REF!</v>
      </c>
      <c r="AF53" s="41">
        <v>221377.61157111311</v>
      </c>
      <c r="AG53" s="41">
        <v>220890.26622869837</v>
      </c>
      <c r="AH53" s="41">
        <v>220569.39392113066</v>
      </c>
      <c r="AI53" s="41">
        <v>200869.25584922644</v>
      </c>
      <c r="AJ53" s="41">
        <v>241550.17574321377</v>
      </c>
      <c r="AK53" s="41">
        <v>242514.93197695733</v>
      </c>
      <c r="AL53" s="41">
        <v>243479.6882107009</v>
      </c>
      <c r="AM53" s="41">
        <v>243962.06632757265</v>
      </c>
      <c r="AN53" s="41"/>
      <c r="AO53" s="42" t="s">
        <v>124</v>
      </c>
      <c r="AP53" s="41">
        <f t="shared" si="13"/>
        <v>221377.61157111311</v>
      </c>
      <c r="AR53" s="41"/>
    </row>
    <row r="54" spans="1:44" x14ac:dyDescent="0.3">
      <c r="A54" s="80" t="s">
        <v>125</v>
      </c>
      <c r="B54" s="79" t="s">
        <v>126</v>
      </c>
      <c r="C54" s="79" t="s">
        <v>112</v>
      </c>
      <c r="D54" s="32" t="s">
        <v>127</v>
      </c>
      <c r="E54" s="33">
        <v>298359.55510900001</v>
      </c>
      <c r="F54" s="33">
        <v>0.39702815183200002</v>
      </c>
      <c r="G54" s="33">
        <v>5255.6690487699998</v>
      </c>
      <c r="H54" s="33">
        <v>293103.48903200001</v>
      </c>
      <c r="I54" s="33">
        <v>0</v>
      </c>
      <c r="J54" s="34">
        <v>2694.41242311</v>
      </c>
      <c r="K54" s="35">
        <f t="shared" si="1"/>
        <v>275957.46983126819</v>
      </c>
      <c r="L54" s="36">
        <f t="shared" si="2"/>
        <v>7.3887288991257381E-3</v>
      </c>
      <c r="M54" s="37">
        <v>34454</v>
      </c>
      <c r="N54" s="38">
        <f t="shared" si="3"/>
        <v>6.0376826822213427E-3</v>
      </c>
      <c r="O54" s="38">
        <f t="shared" si="4"/>
        <v>32.539675411145119</v>
      </c>
      <c r="P54" s="38">
        <f t="shared" si="5"/>
        <v>1.1331634194743794E-2</v>
      </c>
      <c r="Q54" s="76">
        <v>14451.606777700001</v>
      </c>
      <c r="R54" s="33">
        <v>335.23712790899998</v>
      </c>
      <c r="S54" s="39">
        <f t="shared" si="6"/>
        <v>3.6822304600566485E-3</v>
      </c>
      <c r="T54" s="112">
        <f t="shared" si="7"/>
        <v>129131.10237931012</v>
      </c>
      <c r="U54" s="28">
        <f t="shared" si="8"/>
        <v>122778.36056428317</v>
      </c>
      <c r="V54" s="28" t="e">
        <f>(#REF!*$C$13)+$B$34</f>
        <v>#REF!</v>
      </c>
      <c r="W54" s="28" t="e">
        <f t="shared" si="9"/>
        <v>#REF!</v>
      </c>
      <c r="X54" s="28" t="e">
        <f t="shared" si="10"/>
        <v>#REF!</v>
      </c>
      <c r="Y54" s="28" t="e">
        <f t="shared" si="11"/>
        <v>#REF!</v>
      </c>
      <c r="Z54" s="28" t="e">
        <f t="shared" si="12"/>
        <v>#REF!</v>
      </c>
      <c r="AA54" s="16" t="e">
        <f t="shared" si="0"/>
        <v>#REF!</v>
      </c>
      <c r="AE54" s="41" t="e" cm="1">
        <f t="array" ref="AE54">_xlfn.IFS($V54&gt;$W$3,($W$3+$Y$101),$V54&lt;$X$3,($V54+$X54+$Y$101), $V54&lt;$W$3,$V54+$Y$101,$V54&gt;$X$3,$V54+$Y$101)</f>
        <v>#REF!</v>
      </c>
      <c r="AF54" s="41">
        <v>210884.38632622667</v>
      </c>
      <c r="AG54" s="41">
        <v>214270.1147153097</v>
      </c>
      <c r="AH54" s="41">
        <v>216931.78647079557</v>
      </c>
      <c r="AI54" s="41">
        <v>212982.90831000573</v>
      </c>
      <c r="AJ54" s="41">
        <v>217323.7634521983</v>
      </c>
      <c r="AK54" s="41">
        <v>226363.99044961372</v>
      </c>
      <c r="AL54" s="41">
        <v>235404.21744702908</v>
      </c>
      <c r="AM54" s="41">
        <v>239924.33094573676</v>
      </c>
      <c r="AN54" s="41"/>
      <c r="AO54" s="32" t="s">
        <v>127</v>
      </c>
      <c r="AP54" s="41">
        <f t="shared" si="13"/>
        <v>210884.38632622667</v>
      </c>
      <c r="AR54" s="41"/>
    </row>
    <row r="55" spans="1:44" x14ac:dyDescent="0.3">
      <c r="A55" s="80" t="s">
        <v>128</v>
      </c>
      <c r="B55" s="81">
        <v>116691</v>
      </c>
      <c r="C55" s="82">
        <f>B55/$B$60</f>
        <v>2.044559772505471E-2</v>
      </c>
      <c r="D55" s="42" t="s">
        <v>129</v>
      </c>
      <c r="E55" s="43">
        <v>462652.02688700001</v>
      </c>
      <c r="F55" s="43">
        <v>745.37350899399996</v>
      </c>
      <c r="G55" s="43">
        <v>7644.26916506</v>
      </c>
      <c r="H55" s="43">
        <v>454262.38421300001</v>
      </c>
      <c r="I55" s="43">
        <v>0</v>
      </c>
      <c r="J55" s="44">
        <v>1502.7019432300001</v>
      </c>
      <c r="K55" s="35">
        <f t="shared" si="1"/>
        <v>447434.02688499598</v>
      </c>
      <c r="L55" s="36">
        <f t="shared" si="2"/>
        <v>1.197999360886581E-2</v>
      </c>
      <c r="M55" s="45">
        <v>22290</v>
      </c>
      <c r="N55" s="38">
        <f t="shared" si="3"/>
        <v>3.9060761301072076E-3</v>
      </c>
      <c r="O55" s="38">
        <f t="shared" si="4"/>
        <v>28.142976162365105</v>
      </c>
      <c r="P55" s="38">
        <f t="shared" si="5"/>
        <v>9.8005252662750238E-3</v>
      </c>
      <c r="Q55" s="76">
        <v>5325.6553847200003</v>
      </c>
      <c r="R55" s="43">
        <v>665.94722236600001</v>
      </c>
      <c r="S55" s="39">
        <f t="shared" si="6"/>
        <v>7.3147361757968663E-3</v>
      </c>
      <c r="T55" s="112">
        <f t="shared" si="7"/>
        <v>132803.28931683567</v>
      </c>
      <c r="U55" s="28">
        <f t="shared" si="8"/>
        <v>125729.95035343429</v>
      </c>
      <c r="V55" s="28" t="e">
        <f>(#REF!*$C$13)+$B$34</f>
        <v>#REF!</v>
      </c>
      <c r="W55" s="28" t="e">
        <f t="shared" si="9"/>
        <v>#REF!</v>
      </c>
      <c r="X55" s="28" t="e">
        <f t="shared" si="10"/>
        <v>#REF!</v>
      </c>
      <c r="Y55" s="28" t="e">
        <f t="shared" si="11"/>
        <v>#REF!</v>
      </c>
      <c r="Z55" s="28" t="e">
        <f t="shared" si="12"/>
        <v>#REF!</v>
      </c>
      <c r="AA55" s="16" t="e">
        <f t="shared" si="0"/>
        <v>#REF!</v>
      </c>
      <c r="AE55" s="41" t="e" cm="1">
        <f t="array" ref="AE55">_xlfn.IFS($V55&gt;$W$3,($W$3+$Y$101),$V55&lt;$X$3,($V55+$X55+$Y$101), $V55&lt;$W$3,$V55+$Y$101,$V55&gt;$X$3,$V55+$Y$101)</f>
        <v>#REF!</v>
      </c>
      <c r="AF55" s="41">
        <v>228107.56723680432</v>
      </c>
      <c r="AG55" s="41">
        <v>231493.29562588735</v>
      </c>
      <c r="AH55" s="41">
        <v>227962.51241411926</v>
      </c>
      <c r="AI55" s="41">
        <v>212080.44768415237</v>
      </c>
      <c r="AJ55" s="41">
        <v>243158.53481806471</v>
      </c>
      <c r="AK55" s="41">
        <v>243587.17136019131</v>
      </c>
      <c r="AL55" s="41">
        <v>244015.80790231787</v>
      </c>
      <c r="AM55" s="41">
        <v>244230.12617338117</v>
      </c>
      <c r="AN55" s="41"/>
      <c r="AO55" s="42" t="s">
        <v>129</v>
      </c>
      <c r="AP55" s="41">
        <f t="shared" si="13"/>
        <v>228107.56723680432</v>
      </c>
      <c r="AR55" s="41"/>
    </row>
    <row r="56" spans="1:44" x14ac:dyDescent="0.3">
      <c r="A56" s="80" t="s">
        <v>130</v>
      </c>
      <c r="B56" s="81">
        <v>231601</v>
      </c>
      <c r="C56" s="82">
        <f t="shared" ref="C56:C59" si="17">B56/$B$60</f>
        <v>4.0579143881879456E-2</v>
      </c>
      <c r="D56" s="32" t="s">
        <v>131</v>
      </c>
      <c r="E56" s="33">
        <v>561640.03153299994</v>
      </c>
      <c r="F56" s="33">
        <v>1732.8728811599999</v>
      </c>
      <c r="G56" s="33">
        <v>12192.767503900001</v>
      </c>
      <c r="H56" s="33">
        <v>547714.39114800002</v>
      </c>
      <c r="I56" s="33">
        <v>0</v>
      </c>
      <c r="J56" s="34">
        <v>2633.2513077100002</v>
      </c>
      <c r="K56" s="35">
        <f t="shared" si="1"/>
        <v>543475.17356272996</v>
      </c>
      <c r="L56" s="36">
        <f t="shared" si="2"/>
        <v>1.4551484050479291E-2</v>
      </c>
      <c r="M56" s="37">
        <v>6441</v>
      </c>
      <c r="N56" s="38">
        <f t="shared" si="3"/>
        <v>1.1287140580538593E-3</v>
      </c>
      <c r="O56" s="38">
        <f t="shared" si="4"/>
        <v>18.605917876446547</v>
      </c>
      <c r="P56" s="38">
        <f t="shared" si="5"/>
        <v>6.479334921734455E-3</v>
      </c>
      <c r="Q56" s="76">
        <v>1605.9662774999999</v>
      </c>
      <c r="R56" s="33">
        <v>540.44413754699997</v>
      </c>
      <c r="S56" s="39">
        <f t="shared" si="6"/>
        <v>5.9362155905798237E-3</v>
      </c>
      <c r="T56" s="112">
        <f t="shared" si="7"/>
        <v>131903.64943332318</v>
      </c>
      <c r="U56" s="28">
        <f t="shared" si="8"/>
        <v>125482.90439690645</v>
      </c>
      <c r="V56" s="28" t="e">
        <f>(#REF!*$C$13)+$B$34</f>
        <v>#REF!</v>
      </c>
      <c r="W56" s="28" t="e">
        <f t="shared" si="9"/>
        <v>#REF!</v>
      </c>
      <c r="X56" s="28" t="e">
        <f t="shared" si="10"/>
        <v>#REF!</v>
      </c>
      <c r="Y56" s="28" t="e">
        <f t="shared" si="11"/>
        <v>#REF!</v>
      </c>
      <c r="Z56" s="28" t="e">
        <f t="shared" si="12"/>
        <v>#REF!</v>
      </c>
      <c r="AA56" s="16" t="e">
        <f t="shared" si="0"/>
        <v>#REF!</v>
      </c>
      <c r="AE56" s="41" t="e" cm="1">
        <f t="array" ref="AE56">_xlfn.IFS($V56&gt;$W$3,($W$3+$Y$101),$V56&lt;$X$3,($V56+$X56+$Y$101), $V56&lt;$W$3,$V56+$Y$101,$V56&gt;$X$3,$V56+$Y$101)</f>
        <v>#REF!</v>
      </c>
      <c r="AF56" s="41">
        <v>232243.89612710013</v>
      </c>
      <c r="AG56" s="41">
        <v>231756.55078468539</v>
      </c>
      <c r="AH56" s="41">
        <v>231435.67847711768</v>
      </c>
      <c r="AI56" s="41">
        <v>204970.23053397681</v>
      </c>
      <c r="AJ56" s="41">
        <v>257849.60257719428</v>
      </c>
      <c r="AK56" s="41">
        <v>253381.21653294435</v>
      </c>
      <c r="AL56" s="41">
        <v>248912.8304886944</v>
      </c>
      <c r="AM56" s="41">
        <v>246678.63746656943</v>
      </c>
      <c r="AN56" s="41"/>
      <c r="AO56" s="32" t="s">
        <v>131</v>
      </c>
      <c r="AP56" s="41">
        <f t="shared" si="13"/>
        <v>232243.89612710013</v>
      </c>
      <c r="AR56" s="41"/>
    </row>
    <row r="57" spans="1:44" x14ac:dyDescent="0.3">
      <c r="A57" s="80" t="s">
        <v>132</v>
      </c>
      <c r="B57" s="81">
        <v>411856</v>
      </c>
      <c r="C57" s="82">
        <f t="shared" si="17"/>
        <v>7.2161881350319493E-2</v>
      </c>
      <c r="D57" s="42" t="s">
        <v>133</v>
      </c>
      <c r="E57" s="43">
        <v>418738.93176000001</v>
      </c>
      <c r="F57" s="43">
        <v>60.215802489799998</v>
      </c>
      <c r="G57" s="43">
        <v>5923.9607481900002</v>
      </c>
      <c r="H57" s="43">
        <v>412754.75520999997</v>
      </c>
      <c r="I57" s="43">
        <v>1174.5206319900001</v>
      </c>
      <c r="J57" s="44">
        <v>11513.064232000001</v>
      </c>
      <c r="K57" s="35">
        <f t="shared" si="1"/>
        <v>399267.00258549227</v>
      </c>
      <c r="L57" s="36">
        <f t="shared" si="2"/>
        <v>1.069032718075918E-2</v>
      </c>
      <c r="M57" s="45">
        <v>162847</v>
      </c>
      <c r="N57" s="38">
        <f t="shared" si="3"/>
        <v>2.853713681290123E-2</v>
      </c>
      <c r="O57" s="38">
        <f t="shared" si="4"/>
        <v>54.608458930855726</v>
      </c>
      <c r="P57" s="38">
        <f t="shared" si="5"/>
        <v>1.9016879324223419E-2</v>
      </c>
      <c r="Q57" s="76">
        <v>800.16775983800005</v>
      </c>
      <c r="R57" s="43">
        <v>476.40661420999999</v>
      </c>
      <c r="S57" s="39">
        <f t="shared" si="6"/>
        <v>5.2328301377546288E-3</v>
      </c>
      <c r="T57" s="112">
        <f t="shared" si="7"/>
        <v>142315.31447264578</v>
      </c>
      <c r="U57" s="28">
        <f t="shared" si="8"/>
        <v>153739.62345905916</v>
      </c>
      <c r="V57" s="28" t="e">
        <f>(#REF!*$C$13)+$B$34</f>
        <v>#REF!</v>
      </c>
      <c r="W57" s="28" t="e">
        <f t="shared" si="9"/>
        <v>#REF!</v>
      </c>
      <c r="X57" s="28" t="e">
        <f t="shared" si="10"/>
        <v>#REF!</v>
      </c>
      <c r="Y57" s="28" t="e">
        <f t="shared" si="11"/>
        <v>#REF!</v>
      </c>
      <c r="Z57" s="28" t="e">
        <f t="shared" si="12"/>
        <v>#REF!</v>
      </c>
      <c r="AA57" s="16" t="e">
        <f t="shared" si="0"/>
        <v>#REF!</v>
      </c>
      <c r="AE57" s="41" t="e" cm="1">
        <f t="array" ref="AE57">_xlfn.IFS($V57&gt;$W$3,($W$3+$Y$101),$V57&lt;$X$3,($V57+$X57+$Y$101), $V57&lt;$W$3,$V57+$Y$101,$V57&gt;$X$3,$V57+$Y$101)</f>
        <v>#REF!</v>
      </c>
      <c r="AF57" s="41">
        <v>274738.74095238809</v>
      </c>
      <c r="AG57" s="41">
        <v>288743.08827705146</v>
      </c>
      <c r="AH57" s="41">
        <v>304608.98870719958</v>
      </c>
      <c r="AI57" s="41">
        <v>318392.00935121207</v>
      </c>
      <c r="AJ57" s="41">
        <v>234960.50241251313</v>
      </c>
      <c r="AK57" s="41">
        <v>238121.81642315691</v>
      </c>
      <c r="AL57" s="41">
        <v>241283.13043380069</v>
      </c>
      <c r="AM57" s="41">
        <v>242863.78743912256</v>
      </c>
      <c r="AN57" s="41"/>
      <c r="AO57" s="42" t="s">
        <v>133</v>
      </c>
      <c r="AP57" s="41">
        <f t="shared" si="13"/>
        <v>274738.74095238809</v>
      </c>
      <c r="AR57" s="41"/>
    </row>
    <row r="58" spans="1:44" x14ac:dyDescent="0.3">
      <c r="A58" s="80" t="s">
        <v>134</v>
      </c>
      <c r="B58" s="81">
        <v>701024</v>
      </c>
      <c r="C58" s="82">
        <f t="shared" si="17"/>
        <v>0.12282742199148823</v>
      </c>
      <c r="D58" s="32" t="s">
        <v>135</v>
      </c>
      <c r="E58" s="33">
        <v>712909.51929299999</v>
      </c>
      <c r="F58" s="33">
        <v>3886.9857056000001</v>
      </c>
      <c r="G58" s="33">
        <v>9823.59939863</v>
      </c>
      <c r="H58" s="33">
        <v>699198.93418900005</v>
      </c>
      <c r="I58" s="33">
        <v>0</v>
      </c>
      <c r="J58" s="34">
        <v>4314.5439700099996</v>
      </c>
      <c r="K58" s="35">
        <f t="shared" si="1"/>
        <v>620218.71680466004</v>
      </c>
      <c r="L58" s="36">
        <f t="shared" si="2"/>
        <v>1.6606283422714675E-2</v>
      </c>
      <c r="M58" s="37">
        <v>25399</v>
      </c>
      <c r="N58" s="38">
        <f t="shared" si="3"/>
        <v>4.4508940165362476E-3</v>
      </c>
      <c r="O58" s="38">
        <f t="shared" si="4"/>
        <v>29.394914819196494</v>
      </c>
      <c r="P58" s="38">
        <f t="shared" si="5"/>
        <v>1.0236501062413826E-2</v>
      </c>
      <c r="Q58" s="76">
        <v>74665.673414100005</v>
      </c>
      <c r="R58" s="33">
        <v>1443.5371946600001</v>
      </c>
      <c r="S58" s="39">
        <f t="shared" si="6"/>
        <v>1.5855751603517643E-2</v>
      </c>
      <c r="T58" s="112">
        <f t="shared" si="7"/>
        <v>138878.00804882086</v>
      </c>
      <c r="U58" s="28">
        <f t="shared" si="8"/>
        <v>131935.27959376777</v>
      </c>
      <c r="V58" s="28" t="e">
        <f>(#REF!*$C$13)+$B$34</f>
        <v>#REF!</v>
      </c>
      <c r="W58" s="28" t="e">
        <f t="shared" si="9"/>
        <v>#REF!</v>
      </c>
      <c r="X58" s="28" t="e">
        <f t="shared" si="10"/>
        <v>#REF!</v>
      </c>
      <c r="Y58" s="28" t="e">
        <f t="shared" si="11"/>
        <v>#REF!</v>
      </c>
      <c r="Z58" s="28" t="e">
        <f t="shared" si="12"/>
        <v>#REF!</v>
      </c>
      <c r="AA58" s="16" t="e">
        <f t="shared" si="0"/>
        <v>#REF!</v>
      </c>
      <c r="AE58" s="41" t="e" cm="1">
        <f t="array" ref="AE58">_xlfn.IFS($V58&gt;$W$3,($W$3+$Y$101),$V58&lt;$X$3,($V58+$X58+$Y$101), $V58&lt;$W$3,$V58+$Y$101,$V58&gt;$X$3,$V58+$Y$101)</f>
        <v>#REF!</v>
      </c>
      <c r="AF58" s="41">
        <v>253793.69037108586</v>
      </c>
      <c r="AG58" s="41">
        <v>257179.41876016889</v>
      </c>
      <c r="AH58" s="41">
        <v>253648.63554840081</v>
      </c>
      <c r="AI58" s="41">
        <v>231115.62158284924</v>
      </c>
      <c r="AJ58" s="41">
        <v>281687.71951948706</v>
      </c>
      <c r="AK58" s="41">
        <v>269273.29449447285</v>
      </c>
      <c r="AL58" s="41">
        <v>256858.86946945864</v>
      </c>
      <c r="AM58" s="41">
        <v>250651.65695695154</v>
      </c>
      <c r="AN58" s="41"/>
      <c r="AO58" s="32" t="s">
        <v>135</v>
      </c>
      <c r="AP58" s="41">
        <f t="shared" si="13"/>
        <v>253793.69037108586</v>
      </c>
      <c r="AR58" s="41"/>
    </row>
    <row r="59" spans="1:44" x14ac:dyDescent="0.3">
      <c r="A59" s="80" t="s">
        <v>136</v>
      </c>
      <c r="B59" s="81">
        <v>4246218</v>
      </c>
      <c r="C59" s="82">
        <f t="shared" si="17"/>
        <v>0.74398595505125809</v>
      </c>
      <c r="D59" s="42" t="s">
        <v>137</v>
      </c>
      <c r="E59" s="43">
        <v>711019.29773500003</v>
      </c>
      <c r="F59" s="43">
        <v>21199.794372200002</v>
      </c>
      <c r="G59" s="43">
        <v>18207.415803799999</v>
      </c>
      <c r="H59" s="43">
        <v>671612.08755900001</v>
      </c>
      <c r="I59" s="43">
        <v>0</v>
      </c>
      <c r="J59" s="44">
        <v>3882.26529097</v>
      </c>
      <c r="K59" s="35">
        <f t="shared" si="1"/>
        <v>571512.77821023006</v>
      </c>
      <c r="L59" s="36">
        <f t="shared" si="2"/>
        <v>1.53021876275483E-2</v>
      </c>
      <c r="M59" s="45">
        <v>34682</v>
      </c>
      <c r="N59" s="38">
        <f t="shared" si="3"/>
        <v>6.0776371621524532E-3</v>
      </c>
      <c r="O59" s="38">
        <f t="shared" si="4"/>
        <v>32.611294968320209</v>
      </c>
      <c r="P59" s="38">
        <f t="shared" si="5"/>
        <v>1.1356575028136978E-2</v>
      </c>
      <c r="Q59" s="76">
        <v>96217.044057799998</v>
      </c>
      <c r="R59" s="43">
        <v>2187.8388225899998</v>
      </c>
      <c r="S59" s="39">
        <f t="shared" si="6"/>
        <v>2.4031129262097141E-2</v>
      </c>
      <c r="T59" s="112">
        <f t="shared" si="7"/>
        <v>138657.18185348902</v>
      </c>
      <c r="U59" s="28">
        <f t="shared" si="8"/>
        <v>132322.45641430758</v>
      </c>
      <c r="V59" s="28" t="e">
        <f>(#REF!*$C$13)+$B$34</f>
        <v>#REF!</v>
      </c>
      <c r="W59" s="28" t="e">
        <f t="shared" si="9"/>
        <v>#REF!</v>
      </c>
      <c r="X59" s="28" t="e">
        <f t="shared" si="10"/>
        <v>#REF!</v>
      </c>
      <c r="Y59" s="28" t="e">
        <f t="shared" si="11"/>
        <v>#REF!</v>
      </c>
      <c r="Z59" s="28" t="e">
        <f t="shared" si="12"/>
        <v>#REF!</v>
      </c>
      <c r="AA59" s="16" t="e">
        <f t="shared" si="0"/>
        <v>#REF!</v>
      </c>
      <c r="AE59" s="41" t="e" cm="1">
        <f t="array" ref="AE59">_xlfn.IFS($V59&gt;$W$3,($W$3+$Y$101),$V59&lt;$X$3,($V59+$X59+$Y$101), $V59&lt;$W$3,$V59+$Y$101,$V59&gt;$X$3,$V59+$Y$101)</f>
        <v>#REF!</v>
      </c>
      <c r="AF59" s="41">
        <v>250912.96175008343</v>
      </c>
      <c r="AG59" s="41">
        <v>254298.69013916646</v>
      </c>
      <c r="AH59" s="41">
        <v>256960.36189465233</v>
      </c>
      <c r="AI59" s="41">
        <v>229676.02820266821</v>
      </c>
      <c r="AJ59" s="41">
        <v>277366.62658798345</v>
      </c>
      <c r="AK59" s="41">
        <v>266392.56587347045</v>
      </c>
      <c r="AL59" s="41">
        <v>255418.50515895744</v>
      </c>
      <c r="AM59" s="41">
        <v>249931.47480170094</v>
      </c>
      <c r="AN59" s="41"/>
      <c r="AO59" s="42" t="s">
        <v>137</v>
      </c>
      <c r="AP59" s="41">
        <f t="shared" si="13"/>
        <v>250912.96175008343</v>
      </c>
      <c r="AR59" s="41"/>
    </row>
    <row r="60" spans="1:44" x14ac:dyDescent="0.3">
      <c r="A60" s="79"/>
      <c r="B60" s="83">
        <f>SUM(B55:B59)</f>
        <v>5707390</v>
      </c>
      <c r="C60" s="79"/>
      <c r="D60" s="32" t="s">
        <v>138</v>
      </c>
      <c r="E60" s="33">
        <v>396113.70043000003</v>
      </c>
      <c r="F60" s="33">
        <v>3.2344765950099998</v>
      </c>
      <c r="G60" s="33">
        <v>7858.7127467700002</v>
      </c>
      <c r="H60" s="33">
        <v>388251.75320699997</v>
      </c>
      <c r="I60" s="33">
        <v>582.07320923899999</v>
      </c>
      <c r="J60" s="34">
        <v>2229.48905135</v>
      </c>
      <c r="K60" s="35">
        <f t="shared" si="1"/>
        <v>382598.14989451604</v>
      </c>
      <c r="L60" s="36">
        <f t="shared" si="2"/>
        <v>1.0244020604356693E-2</v>
      </c>
      <c r="M60" s="37">
        <v>13992</v>
      </c>
      <c r="N60" s="38">
        <f t="shared" si="3"/>
        <v>2.4519433473512808E-3</v>
      </c>
      <c r="O60" s="38">
        <f t="shared" si="4"/>
        <v>24.096831019876703</v>
      </c>
      <c r="P60" s="38">
        <f t="shared" si="5"/>
        <v>8.391493489706834E-3</v>
      </c>
      <c r="Q60" s="76">
        <v>2842.04105153</v>
      </c>
      <c r="R60" s="33">
        <v>260.70838898800002</v>
      </c>
      <c r="S60" s="39">
        <f t="shared" si="6"/>
        <v>2.8636099381703912E-3</v>
      </c>
      <c r="T60" s="112">
        <f t="shared" si="7"/>
        <v>129029.28357954291</v>
      </c>
      <c r="U60" s="28">
        <f t="shared" si="8"/>
        <v>121901.82340871624</v>
      </c>
      <c r="V60" s="28" t="e">
        <f>(#REF!*$C$13)+$B$34</f>
        <v>#REF!</v>
      </c>
      <c r="W60" s="28" t="e">
        <f t="shared" si="9"/>
        <v>#REF!</v>
      </c>
      <c r="X60" s="28" t="e">
        <f t="shared" si="10"/>
        <v>#REF!</v>
      </c>
      <c r="Y60" s="28" t="e">
        <f t="shared" si="11"/>
        <v>#REF!</v>
      </c>
      <c r="Z60" s="28" t="e">
        <f t="shared" si="12"/>
        <v>#REF!</v>
      </c>
      <c r="AA60" s="16" t="e">
        <f t="shared" si="0"/>
        <v>#REF!</v>
      </c>
      <c r="AE60" s="41" t="e" cm="1">
        <f t="array" ref="AE60">_xlfn.IFS($V60&gt;$W$3,($W$3+$Y$101),$V60&lt;$X$3,($V60+$X60+$Y$101), $V60&lt;$W$3,$V60+$Y$101,$V60&gt;$X$3,$V60+$Y$101)</f>
        <v>#REF!</v>
      </c>
      <c r="AF60" s="41">
        <v>215369.92278893216</v>
      </c>
      <c r="AG60" s="41">
        <v>218286.4852731885</v>
      </c>
      <c r="AH60" s="41">
        <v>217022.47189145052</v>
      </c>
      <c r="AI60" s="41">
        <v>202210.37474257947</v>
      </c>
      <c r="AJ60" s="41">
        <v>232538.64256994231</v>
      </c>
      <c r="AK60" s="41">
        <v>236507.24319477635</v>
      </c>
      <c r="AL60" s="41">
        <v>240475.8438196104</v>
      </c>
      <c r="AM60" s="41">
        <v>242460.14413202743</v>
      </c>
      <c r="AN60" s="41"/>
      <c r="AO60" s="32" t="s">
        <v>138</v>
      </c>
      <c r="AP60" s="41">
        <f t="shared" si="13"/>
        <v>215369.92278893216</v>
      </c>
      <c r="AR60" s="41"/>
    </row>
    <row r="61" spans="1:44" x14ac:dyDescent="0.3">
      <c r="A61" s="79"/>
      <c r="B61" s="79"/>
      <c r="C61" s="79"/>
      <c r="D61" s="42" t="s">
        <v>139</v>
      </c>
      <c r="E61" s="43">
        <v>917457.46700299997</v>
      </c>
      <c r="F61" s="43">
        <v>2822.6516168200001</v>
      </c>
      <c r="G61" s="43">
        <v>233804.36518299999</v>
      </c>
      <c r="H61" s="43">
        <v>680830.45020299999</v>
      </c>
      <c r="I61" s="43">
        <v>6611.2895168799996</v>
      </c>
      <c r="J61" s="44">
        <v>3915.8886135100001</v>
      </c>
      <c r="K61" s="35">
        <f t="shared" si="1"/>
        <v>659011.5381906901</v>
      </c>
      <c r="L61" s="36">
        <f t="shared" si="2"/>
        <v>1.7644956666924515E-2</v>
      </c>
      <c r="M61" s="45">
        <v>28876</v>
      </c>
      <c r="N61" s="38">
        <f t="shared" si="3"/>
        <v>5.0601998354856768E-3</v>
      </c>
      <c r="O61" s="38">
        <f t="shared" si="4"/>
        <v>30.679316352515229</v>
      </c>
      <c r="P61" s="38">
        <f t="shared" si="5"/>
        <v>1.0683781748248539E-2</v>
      </c>
      <c r="Q61" s="76">
        <v>11291.733882099999</v>
      </c>
      <c r="R61" s="43">
        <v>1152.4472689300001</v>
      </c>
      <c r="S61" s="39">
        <f t="shared" si="6"/>
        <v>1.2658432148407677E-2</v>
      </c>
      <c r="T61" s="112">
        <f t="shared" si="7"/>
        <v>140661.15276487434</v>
      </c>
      <c r="U61" s="28">
        <f t="shared" si="8"/>
        <v>133912.85446955889</v>
      </c>
      <c r="V61" s="28" t="e">
        <f>(#REF!*$C$13)+$B$34</f>
        <v>#REF!</v>
      </c>
      <c r="W61" s="28" t="e">
        <f t="shared" si="9"/>
        <v>#REF!</v>
      </c>
      <c r="X61" s="28" t="e">
        <f t="shared" si="10"/>
        <v>#REF!</v>
      </c>
      <c r="Y61" s="28" t="e">
        <f t="shared" si="11"/>
        <v>#REF!</v>
      </c>
      <c r="Z61" s="28" t="e">
        <f t="shared" si="12"/>
        <v>#REF!</v>
      </c>
      <c r="AA61" s="16" t="e">
        <f t="shared" si="0"/>
        <v>#REF!</v>
      </c>
      <c r="AE61" s="41" t="e" cm="1">
        <f t="array" ref="AE61">_xlfn.IFS($V61&gt;$W$3,($W$3+$Y$101),$V61&lt;$X$3,($V61+$X61+$Y$101), $V61&lt;$W$3,$V61+$Y$101,$V61&gt;$X$3,$V61+$Y$101)</f>
        <v>#REF!</v>
      </c>
      <c r="AF61" s="41">
        <v>251887.33709232058</v>
      </c>
      <c r="AG61" s="41">
        <v>255273.06548140361</v>
      </c>
      <c r="AH61" s="41">
        <v>251742.28226963553</v>
      </c>
      <c r="AI61" s="41">
        <v>229606.60418262848</v>
      </c>
      <c r="AJ61" s="41">
        <v>278828.18960133917</v>
      </c>
      <c r="AK61" s="41">
        <v>267366.94121570763</v>
      </c>
      <c r="AL61" s="41">
        <v>255905.69283007603</v>
      </c>
      <c r="AM61" s="41">
        <v>250175.06863726024</v>
      </c>
      <c r="AN61" s="41"/>
      <c r="AO61" s="42" t="s">
        <v>139</v>
      </c>
      <c r="AP61" s="41">
        <f t="shared" si="13"/>
        <v>251887.33709232058</v>
      </c>
      <c r="AR61" s="41"/>
    </row>
    <row r="62" spans="1:44" x14ac:dyDescent="0.3">
      <c r="A62" s="80" t="s">
        <v>140</v>
      </c>
      <c r="B62" s="79" t="s">
        <v>141</v>
      </c>
      <c r="C62" s="79" t="s">
        <v>112</v>
      </c>
      <c r="D62" s="32" t="s">
        <v>142</v>
      </c>
      <c r="E62" s="33">
        <v>298492.52485599997</v>
      </c>
      <c r="F62" s="33">
        <v>421.88465946500003</v>
      </c>
      <c r="G62" s="33">
        <v>4647.2233091600001</v>
      </c>
      <c r="H62" s="33">
        <v>293423.41688700003</v>
      </c>
      <c r="I62" s="33">
        <v>0</v>
      </c>
      <c r="J62" s="34">
        <v>1710.8918589699999</v>
      </c>
      <c r="K62" s="35">
        <f t="shared" si="1"/>
        <v>291517.73371916299</v>
      </c>
      <c r="L62" s="36">
        <f t="shared" si="2"/>
        <v>7.8053531403061227E-3</v>
      </c>
      <c r="M62" s="37">
        <v>9424</v>
      </c>
      <c r="N62" s="38">
        <f t="shared" si="3"/>
        <v>1.6514518371525493E-3</v>
      </c>
      <c r="O62" s="38">
        <f t="shared" si="4"/>
        <v>21.122488993467886</v>
      </c>
      <c r="P62" s="38">
        <f t="shared" si="5"/>
        <v>7.3557070109709789E-3</v>
      </c>
      <c r="Q62" s="76">
        <v>194.79130924200001</v>
      </c>
      <c r="R62" s="33">
        <v>413.39524227599998</v>
      </c>
      <c r="S62" s="39">
        <f t="shared" si="6"/>
        <v>4.5407158886183697E-3</v>
      </c>
      <c r="T62" s="112">
        <f t="shared" si="7"/>
        <v>124859.93884819919</v>
      </c>
      <c r="U62" s="28">
        <f t="shared" si="8"/>
        <v>118014.83263961707</v>
      </c>
      <c r="V62" s="28" t="e">
        <f>(#REF!*$C$13)+$B$34</f>
        <v>#REF!</v>
      </c>
      <c r="W62" s="28" t="e">
        <f t="shared" si="9"/>
        <v>#REF!</v>
      </c>
      <c r="X62" s="28" t="e">
        <f t="shared" si="10"/>
        <v>#REF!</v>
      </c>
      <c r="Y62" s="28" t="e">
        <f t="shared" si="11"/>
        <v>#REF!</v>
      </c>
      <c r="Z62" s="28" t="e">
        <f t="shared" si="12"/>
        <v>#REF!</v>
      </c>
      <c r="AA62" s="16" t="e">
        <f t="shared" si="0"/>
        <v>#REF!</v>
      </c>
      <c r="AE62" s="41" t="e" cm="1">
        <f t="array" ref="AE62">_xlfn.IFS($V62&gt;$W$3,($W$3+$Y$101),$V62&lt;$X$3,($V62+$X62+$Y$101), $V62&lt;$W$3,$V62+$Y$101,$V62&gt;$X$3,$V62+$Y$101)</f>
        <v>#REF!</v>
      </c>
      <c r="AF62" s="41">
        <v>205364.94811082195</v>
      </c>
      <c r="AG62" s="41">
        <v>204877.6027684072</v>
      </c>
      <c r="AH62" s="41">
        <v>204556.73046083949</v>
      </c>
      <c r="AI62" s="41">
        <v>193764.14166335241</v>
      </c>
      <c r="AJ62" s="41">
        <v>217531.18055277702</v>
      </c>
      <c r="AK62" s="41">
        <v>226502.26851666617</v>
      </c>
      <c r="AL62" s="41">
        <v>235473.35648055532</v>
      </c>
      <c r="AM62" s="41">
        <v>239958.90046249988</v>
      </c>
      <c r="AN62" s="41"/>
      <c r="AO62" s="32" t="s">
        <v>142</v>
      </c>
      <c r="AP62" s="41">
        <f t="shared" si="13"/>
        <v>205364.94811082195</v>
      </c>
      <c r="AR62" s="41"/>
    </row>
    <row r="63" spans="1:44" x14ac:dyDescent="0.3">
      <c r="A63" s="80" t="s">
        <v>143</v>
      </c>
      <c r="B63" s="81">
        <v>257387</v>
      </c>
      <c r="C63" s="82">
        <f>B63/$B$67</f>
        <v>4.5097145980912468E-2</v>
      </c>
      <c r="D63" s="42" t="s">
        <v>144</v>
      </c>
      <c r="E63" s="43">
        <v>484255.40876199998</v>
      </c>
      <c r="F63" s="43">
        <v>33724.629130000001</v>
      </c>
      <c r="G63" s="43">
        <v>18542.182776900001</v>
      </c>
      <c r="H63" s="43">
        <v>431988.59685500001</v>
      </c>
      <c r="I63" s="43">
        <v>0.258917098648</v>
      </c>
      <c r="J63" s="44">
        <v>2310.63015034</v>
      </c>
      <c r="K63" s="35">
        <f t="shared" si="1"/>
        <v>412968.71657936135</v>
      </c>
      <c r="L63" s="36">
        <f t="shared" si="2"/>
        <v>1.1057188966439259E-2</v>
      </c>
      <c r="M63" s="45">
        <v>8839</v>
      </c>
      <c r="N63" s="38">
        <f t="shared" si="3"/>
        <v>1.54893705311878E-3</v>
      </c>
      <c r="O63" s="38">
        <f t="shared" si="4"/>
        <v>20.676056549347887</v>
      </c>
      <c r="P63" s="38">
        <f t="shared" si="5"/>
        <v>7.2002411347594246E-3</v>
      </c>
      <c r="Q63" s="76">
        <v>16708.991208300002</v>
      </c>
      <c r="R63" s="43">
        <v>1139.2547223500001</v>
      </c>
      <c r="S63" s="39">
        <f t="shared" si="6"/>
        <v>1.2513525773730173E-2</v>
      </c>
      <c r="T63" s="112">
        <f t="shared" si="7"/>
        <v>128575.58278810509</v>
      </c>
      <c r="U63" s="28">
        <f t="shared" si="8"/>
        <v>121794.01789013631</v>
      </c>
      <c r="V63" s="28" t="e">
        <f>(#REF!*$C$13)+$B$34</f>
        <v>#REF!</v>
      </c>
      <c r="W63" s="28" t="e">
        <f t="shared" si="9"/>
        <v>#REF!</v>
      </c>
      <c r="X63" s="28" t="e">
        <f t="shared" si="10"/>
        <v>#REF!</v>
      </c>
      <c r="Y63" s="28" t="e">
        <f t="shared" si="11"/>
        <v>#REF!</v>
      </c>
      <c r="Z63" s="28" t="e">
        <f t="shared" si="12"/>
        <v>#REF!</v>
      </c>
      <c r="AA63" s="16" t="e">
        <f t="shared" si="0"/>
        <v>#REF!</v>
      </c>
      <c r="AE63" s="41" t="e" cm="1">
        <f t="array" ref="AE63">_xlfn.IFS($V63&gt;$W$3,($W$3+$Y$101),$V63&lt;$X$3,($V63+$X63+$Y$101), $V63&lt;$W$3,$V63+$Y$101,$V63&gt;$X$3,$V63+$Y$101)</f>
        <v>#REF!</v>
      </c>
      <c r="AF63" s="41">
        <v>225658.91260269444</v>
      </c>
      <c r="AG63" s="41">
        <v>222917.75880449358</v>
      </c>
      <c r="AH63" s="41">
        <v>221653.7454227556</v>
      </c>
      <c r="AI63" s="41">
        <v>205757.95815985385</v>
      </c>
      <c r="AJ63" s="41">
        <v>239485.55286689993</v>
      </c>
      <c r="AK63" s="41">
        <v>241138.51672608146</v>
      </c>
      <c r="AL63" s="41">
        <v>242791.48058526294</v>
      </c>
      <c r="AM63" s="41">
        <v>243617.96251485369</v>
      </c>
      <c r="AN63" s="41"/>
      <c r="AO63" s="42" t="s">
        <v>144</v>
      </c>
      <c r="AP63" s="41">
        <f t="shared" si="13"/>
        <v>225658.91260269444</v>
      </c>
      <c r="AR63" s="41"/>
    </row>
    <row r="64" spans="1:44" x14ac:dyDescent="0.3">
      <c r="A64" s="80" t="s">
        <v>145</v>
      </c>
      <c r="B64" s="81">
        <v>697716</v>
      </c>
      <c r="C64" s="82">
        <f t="shared" ref="C64:C65" si="18">B64/$B$67</f>
        <v>0.12224782255987413</v>
      </c>
      <c r="D64" s="32" t="s">
        <v>146</v>
      </c>
      <c r="E64" s="33">
        <v>795364.94321299996</v>
      </c>
      <c r="F64" s="33">
        <v>4782.2382171500003</v>
      </c>
      <c r="G64" s="33">
        <v>12419.325362</v>
      </c>
      <c r="H64" s="33">
        <v>778163.37963400001</v>
      </c>
      <c r="I64" s="33">
        <v>0</v>
      </c>
      <c r="J64" s="34">
        <v>6532.3851860000004</v>
      </c>
      <c r="K64" s="35">
        <f t="shared" si="1"/>
        <v>770474.41315641988</v>
      </c>
      <c r="L64" s="36">
        <f t="shared" si="2"/>
        <v>2.0629362075274181E-2</v>
      </c>
      <c r="M64" s="37">
        <v>22353</v>
      </c>
      <c r="N64" s="38">
        <f t="shared" si="3"/>
        <v>3.9171161837723827E-3</v>
      </c>
      <c r="O64" s="38">
        <f t="shared" si="4"/>
        <v>28.169465465771708</v>
      </c>
      <c r="P64" s="38">
        <f t="shared" si="5"/>
        <v>9.8097499156448945E-3</v>
      </c>
      <c r="Q64" s="76">
        <v>1156.58129143</v>
      </c>
      <c r="R64" s="33">
        <v>556.31986864400005</v>
      </c>
      <c r="S64" s="39">
        <f t="shared" si="6"/>
        <v>6.1105939507145358E-3</v>
      </c>
      <c r="T64" s="112">
        <f t="shared" si="7"/>
        <v>143193.60105576957</v>
      </c>
      <c r="U64" s="28">
        <f t="shared" si="8"/>
        <v>136122.44057752256</v>
      </c>
      <c r="V64" s="28" t="e">
        <f>(#REF!*$C$13)+$B$34</f>
        <v>#REF!</v>
      </c>
      <c r="W64" s="28" t="e">
        <f t="shared" si="9"/>
        <v>#REF!</v>
      </c>
      <c r="X64" s="28" t="e">
        <f t="shared" si="10"/>
        <v>#REF!</v>
      </c>
      <c r="Y64" s="28" t="e">
        <f t="shared" si="11"/>
        <v>#REF!</v>
      </c>
      <c r="Z64" s="28" t="e">
        <f t="shared" si="12"/>
        <v>#REF!</v>
      </c>
      <c r="AA64" s="16" t="e">
        <f t="shared" si="0"/>
        <v>#REF!</v>
      </c>
      <c r="AE64" s="41" t="e" cm="1">
        <f t="array" ref="AE64">_xlfn.IFS($V64&gt;$W$3,($W$3+$Y$101),$V64&lt;$X$3,($V64+$X64+$Y$101), $V64&lt;$W$3,$V64+$Y$101,$V64&gt;$X$3,$V64+$Y$101)</f>
        <v>#REF!</v>
      </c>
      <c r="AF64" s="41">
        <v>261935.45641828023</v>
      </c>
      <c r="AG64" s="41">
        <v>259194.30262007937</v>
      </c>
      <c r="AH64" s="41">
        <v>257930.28923834139</v>
      </c>
      <c r="AI64" s="41">
        <v>223896.23006764674</v>
      </c>
      <c r="AJ64" s="41">
        <v>293900.36859027861</v>
      </c>
      <c r="AK64" s="41">
        <v>277415.06054166722</v>
      </c>
      <c r="AL64" s="41">
        <v>260929.75249305583</v>
      </c>
      <c r="AM64" s="41">
        <v>252687.09846875013</v>
      </c>
      <c r="AN64" s="41"/>
      <c r="AO64" s="32" t="s">
        <v>146</v>
      </c>
      <c r="AP64" s="41">
        <f t="shared" si="13"/>
        <v>261935.45641828023</v>
      </c>
      <c r="AR64" s="41"/>
    </row>
    <row r="65" spans="1:44" x14ac:dyDescent="0.3">
      <c r="A65" s="80" t="s">
        <v>147</v>
      </c>
      <c r="B65" s="81">
        <v>4752287</v>
      </c>
      <c r="C65" s="82">
        <f t="shared" si="18"/>
        <v>0.83265503145921338</v>
      </c>
      <c r="D65" s="42" t="s">
        <v>148</v>
      </c>
      <c r="E65" s="43">
        <v>458926.83035800001</v>
      </c>
      <c r="F65" s="43">
        <v>14250.7663546</v>
      </c>
      <c r="G65" s="43">
        <v>6637.8161571800001</v>
      </c>
      <c r="H65" s="43">
        <v>438038.24784600001</v>
      </c>
      <c r="I65" s="43">
        <v>0</v>
      </c>
      <c r="J65" s="44">
        <v>2426.0355961199998</v>
      </c>
      <c r="K65" s="35">
        <f t="shared" si="1"/>
        <v>394561.4277459</v>
      </c>
      <c r="L65" s="36">
        <f t="shared" si="2"/>
        <v>1.0564335966150808E-2</v>
      </c>
      <c r="M65" s="45">
        <v>11308</v>
      </c>
      <c r="N65" s="38">
        <f t="shared" si="3"/>
        <v>1.981602013425406E-3</v>
      </c>
      <c r="O65" s="38">
        <f t="shared" si="4"/>
        <v>22.445464632108823</v>
      </c>
      <c r="P65" s="38">
        <f t="shared" si="5"/>
        <v>7.8164207641420371E-3</v>
      </c>
      <c r="Q65" s="76">
        <v>41050.784504199997</v>
      </c>
      <c r="R65" s="43">
        <v>1361.89955912</v>
      </c>
      <c r="S65" s="39">
        <f t="shared" si="6"/>
        <v>1.4959047261288607E-2</v>
      </c>
      <c r="T65" s="112">
        <f t="shared" si="7"/>
        <v>128723.57474301808</v>
      </c>
      <c r="U65" s="28">
        <f t="shared" si="8"/>
        <v>121721.79224215813</v>
      </c>
      <c r="V65" s="28" t="e">
        <f>(#REF!*$C$13)+$B$34</f>
        <v>#REF!</v>
      </c>
      <c r="W65" s="28" t="e">
        <f t="shared" si="9"/>
        <v>#REF!</v>
      </c>
      <c r="X65" s="28" t="e">
        <f t="shared" si="10"/>
        <v>#REF!</v>
      </c>
      <c r="Y65" s="28" t="e">
        <f t="shared" si="11"/>
        <v>#REF!</v>
      </c>
      <c r="Z65" s="28" t="e">
        <f t="shared" si="12"/>
        <v>#REF!</v>
      </c>
      <c r="AA65" s="16" t="e">
        <f t="shared" si="0"/>
        <v>#REF!</v>
      </c>
      <c r="AE65" s="41" t="e" cm="1">
        <f t="array" ref="AE65">_xlfn.IFS($V65&gt;$W$3,($W$3+$Y$101),$V65&lt;$X$3,($V65+$X65+$Y$101), $V65&lt;$W$3,$V65+$Y$101,$V65&gt;$X$3,$V65+$Y$101)</f>
        <v>#REF!</v>
      </c>
      <c r="AF65" s="41">
        <v>220630.73868738278</v>
      </c>
      <c r="AG65" s="41">
        <v>223547.30117163912</v>
      </c>
      <c r="AH65" s="41">
        <v>222283.28778990114</v>
      </c>
      <c r="AI65" s="41">
        <v>203008.28132077528</v>
      </c>
      <c r="AJ65" s="41">
        <v>240429.86641761826</v>
      </c>
      <c r="AK65" s="41">
        <v>241768.059093227</v>
      </c>
      <c r="AL65" s="41">
        <v>243106.25176883573</v>
      </c>
      <c r="AM65" s="41">
        <v>243775.34810664007</v>
      </c>
      <c r="AN65" s="41"/>
      <c r="AO65" s="42" t="s">
        <v>148</v>
      </c>
      <c r="AP65" s="41">
        <f t="shared" si="13"/>
        <v>220630.73868738278</v>
      </c>
      <c r="AR65" s="41"/>
    </row>
    <row r="66" spans="1:44" x14ac:dyDescent="0.3">
      <c r="A66" s="79"/>
      <c r="B66" s="79"/>
      <c r="C66" s="79"/>
      <c r="D66" s="32" t="s">
        <v>149</v>
      </c>
      <c r="E66" s="33">
        <v>108718.34360599999</v>
      </c>
      <c r="F66" s="33">
        <v>1777.1121685600001</v>
      </c>
      <c r="G66" s="33">
        <v>2015.3864980599999</v>
      </c>
      <c r="H66" s="33">
        <v>104925.84494</v>
      </c>
      <c r="I66" s="33">
        <v>0</v>
      </c>
      <c r="J66" s="34">
        <v>17732.536132000001</v>
      </c>
      <c r="K66" s="35">
        <f t="shared" si="1"/>
        <v>76413.615377879993</v>
      </c>
      <c r="L66" s="36">
        <f t="shared" si="2"/>
        <v>2.0459655923589976E-3</v>
      </c>
      <c r="M66" s="37">
        <v>552352</v>
      </c>
      <c r="N66" s="38">
        <f t="shared" si="3"/>
        <v>9.6793582889949589E-2</v>
      </c>
      <c r="O66" s="38">
        <f t="shared" si="4"/>
        <v>82.048751497810358</v>
      </c>
      <c r="P66" s="38">
        <f t="shared" si="5"/>
        <v>2.8572701674528005E-2</v>
      </c>
      <c r="Q66" s="76">
        <v>10779.693429499999</v>
      </c>
      <c r="R66" s="33">
        <v>386.50214121900001</v>
      </c>
      <c r="S66" s="39">
        <f t="shared" si="6"/>
        <v>4.24532320196957E-3</v>
      </c>
      <c r="T66" s="112">
        <f t="shared" si="7"/>
        <v>143409.06738693107</v>
      </c>
      <c r="U66" s="28">
        <f t="shared" si="8"/>
        <v>225274.12484543698</v>
      </c>
      <c r="V66" s="28" t="e">
        <f>(#REF!*$C$13)+$B$34</f>
        <v>#REF!</v>
      </c>
      <c r="W66" s="28" t="e">
        <f t="shared" si="9"/>
        <v>#REF!</v>
      </c>
      <c r="X66" s="28" t="e">
        <f t="shared" si="10"/>
        <v>#REF!</v>
      </c>
      <c r="Y66" s="28" t="e">
        <f t="shared" si="11"/>
        <v>#REF!</v>
      </c>
      <c r="Z66" s="28" t="e">
        <f t="shared" si="12"/>
        <v>#REF!</v>
      </c>
      <c r="AA66" s="16" t="e">
        <f t="shared" si="0"/>
        <v>#REF!</v>
      </c>
      <c r="AE66" s="41" t="e" cm="1">
        <f t="array" ref="AE66">_xlfn.IFS($V66&gt;$W$3,($W$3+$Y$101),$V66&lt;$X$3,($V66+$X66+$Y$101), $V66&lt;$W$3,$V66+$Y$101,$V66&gt;$X$3,$V66+$Y$101)</f>
        <v>#REF!</v>
      </c>
      <c r="AF66" s="41">
        <v>243303.67853169885</v>
      </c>
      <c r="AG66" s="41">
        <v>257308.02585636222</v>
      </c>
      <c r="AH66" s="41">
        <v>273173.92628651031</v>
      </c>
      <c r="AI66" s="41">
        <v>595490.00327582401</v>
      </c>
      <c r="AJ66" s="41">
        <v>187807.90878147926</v>
      </c>
      <c r="AK66" s="41">
        <v>206686.75400246767</v>
      </c>
      <c r="AL66" s="41">
        <v>225565.59922345605</v>
      </c>
      <c r="AM66" s="41">
        <v>235005.02183395025</v>
      </c>
      <c r="AN66" s="41"/>
      <c r="AO66" s="32" t="s">
        <v>149</v>
      </c>
      <c r="AP66" s="41">
        <f t="shared" si="13"/>
        <v>243303.67853169885</v>
      </c>
      <c r="AR66" s="41"/>
    </row>
    <row r="67" spans="1:44" x14ac:dyDescent="0.3">
      <c r="A67" s="79"/>
      <c r="B67" s="83">
        <f>SUM(B63:B66)</f>
        <v>5707390</v>
      </c>
      <c r="C67" s="79"/>
      <c r="D67" s="42" t="s">
        <v>150</v>
      </c>
      <c r="E67" s="43">
        <v>277055.225011</v>
      </c>
      <c r="F67" s="43">
        <v>1.6188986282200001E-4</v>
      </c>
      <c r="G67" s="43">
        <v>3830.4109724300001</v>
      </c>
      <c r="H67" s="43">
        <v>273224.81387700001</v>
      </c>
      <c r="I67" s="43">
        <v>0</v>
      </c>
      <c r="J67" s="44">
        <v>818.77788947500005</v>
      </c>
      <c r="K67" s="35">
        <f t="shared" si="1"/>
        <v>272158.99438427208</v>
      </c>
      <c r="L67" s="36">
        <f t="shared" si="2"/>
        <v>7.2870251643980628E-3</v>
      </c>
      <c r="M67" s="45">
        <v>3935</v>
      </c>
      <c r="N67" s="38">
        <f t="shared" si="3"/>
        <v>6.8956525670578115E-4</v>
      </c>
      <c r="O67" s="38">
        <f t="shared" si="4"/>
        <v>15.787556297386935</v>
      </c>
      <c r="P67" s="38">
        <f t="shared" si="5"/>
        <v>5.4978671584916339E-3</v>
      </c>
      <c r="Q67" s="76">
        <v>247.04160293300001</v>
      </c>
      <c r="R67" s="43">
        <v>269.24160355100003</v>
      </c>
      <c r="S67" s="39">
        <f t="shared" si="6"/>
        <v>2.9573384066788281E-3</v>
      </c>
      <c r="T67" s="112">
        <f t="shared" si="7"/>
        <v>122008.5374541343</v>
      </c>
      <c r="U67" s="28">
        <f t="shared" si="8"/>
        <v>116238.57517199128</v>
      </c>
      <c r="V67" s="28" t="e">
        <f>(#REF!*$C$13)+$B$34</f>
        <v>#REF!</v>
      </c>
      <c r="W67" s="28" t="e">
        <f t="shared" si="9"/>
        <v>#REF!</v>
      </c>
      <c r="X67" s="28" t="e">
        <f t="shared" si="10"/>
        <v>#REF!</v>
      </c>
      <c r="Y67" s="28" t="e">
        <f t="shared" si="11"/>
        <v>#REF!</v>
      </c>
      <c r="Z67" s="28" t="e">
        <f t="shared" si="12"/>
        <v>#REF!</v>
      </c>
      <c r="AA67" s="16" t="e">
        <f t="shared" si="0"/>
        <v>#REF!</v>
      </c>
      <c r="AE67" s="41" t="e" cm="1">
        <f t="array" ref="AE67">_xlfn.IFS($V67&gt;$W$3,($W$3+$Y$101),$V67&lt;$X$3,($V67+$X67+$Y$101), $V67&lt;$W$3,$V67+$Y$101,$V67&gt;$X$3,$V67+$Y$101)</f>
        <v>#REF!</v>
      </c>
      <c r="AF67" s="41">
        <v>203316.7934263885</v>
      </c>
      <c r="AG67" s="41">
        <v>202829.44808397375</v>
      </c>
      <c r="AH67" s="41">
        <v>202508.57577640604</v>
      </c>
      <c r="AI67" s="41">
        <v>188592.45919865413</v>
      </c>
      <c r="AJ67" s="41">
        <v>214458.94852612683</v>
      </c>
      <c r="AK67" s="41">
        <v>224454.11383223272</v>
      </c>
      <c r="AL67" s="41">
        <v>234449.27913833858</v>
      </c>
      <c r="AM67" s="41">
        <v>239446.86179139151</v>
      </c>
      <c r="AN67" s="41"/>
      <c r="AO67" s="42" t="s">
        <v>150</v>
      </c>
      <c r="AP67" s="41">
        <f t="shared" si="13"/>
        <v>203316.7934263885</v>
      </c>
      <c r="AR67" s="41"/>
    </row>
    <row r="68" spans="1:44" x14ac:dyDescent="0.3">
      <c r="D68" s="32" t="s">
        <v>151</v>
      </c>
      <c r="E68" s="33">
        <v>564325.01814499998</v>
      </c>
      <c r="F68" s="33">
        <v>4.62067128219</v>
      </c>
      <c r="G68" s="33">
        <v>12748.733501799999</v>
      </c>
      <c r="H68" s="33">
        <v>551571.66397200001</v>
      </c>
      <c r="I68" s="33">
        <v>2154.5353899800002</v>
      </c>
      <c r="J68" s="34">
        <v>2066.51172873</v>
      </c>
      <c r="K68" s="35">
        <f t="shared" si="1"/>
        <v>545813.29572379787</v>
      </c>
      <c r="L68" s="36">
        <f t="shared" si="2"/>
        <v>1.4614086997200508E-2</v>
      </c>
      <c r="M68" s="37">
        <v>15425</v>
      </c>
      <c r="N68" s="38">
        <f t="shared" si="3"/>
        <v>2.7030607584972491E-3</v>
      </c>
      <c r="O68" s="38">
        <f t="shared" si="4"/>
        <v>24.892874957997879</v>
      </c>
      <c r="P68" s="38">
        <f t="shared" si="5"/>
        <v>8.6687082620042506E-3</v>
      </c>
      <c r="Q68" s="76">
        <v>1537.3211294099999</v>
      </c>
      <c r="R68" s="33">
        <v>602.42144798899994</v>
      </c>
      <c r="S68" s="39">
        <f t="shared" si="6"/>
        <v>6.6169717519435145E-3</v>
      </c>
      <c r="T68" s="112">
        <f t="shared" si="7"/>
        <v>134606.02097771238</v>
      </c>
      <c r="U68" s="28">
        <f t="shared" si="8"/>
        <v>127447.24397350398</v>
      </c>
      <c r="V68" s="28" t="e">
        <f>(#REF!*$C$13)+$B$34</f>
        <v>#REF!</v>
      </c>
      <c r="W68" s="28" t="e">
        <f t="shared" si="9"/>
        <v>#REF!</v>
      </c>
      <c r="X68" s="28" t="e">
        <f t="shared" si="10"/>
        <v>#REF!</v>
      </c>
      <c r="Y68" s="28" t="e">
        <f t="shared" si="11"/>
        <v>#REF!</v>
      </c>
      <c r="Z68" s="28" t="e">
        <f t="shared" si="12"/>
        <v>#REF!</v>
      </c>
      <c r="AA68" s="16" t="e">
        <f t="shared" ref="AA68:AA93" si="19">Z68-Y68</f>
        <v>#REF!</v>
      </c>
      <c r="AE68" s="41" t="e" cm="1">
        <f t="array" ref="AE68">_xlfn.IFS($V68&gt;$W$3,($W$3+$Y$101),$V68&lt;$X$3,($V68+$X68+$Y$101), $V68&lt;$W$3,$V68+$Y$101,$V68&gt;$X$3,$V68+$Y$101)</f>
        <v>#REF!</v>
      </c>
      <c r="AF68" s="41">
        <v>238370.93967604134</v>
      </c>
      <c r="AG68" s="41">
        <v>235629.78587784048</v>
      </c>
      <c r="AH68" s="41">
        <v>234365.77249610249</v>
      </c>
      <c r="AI68" s="41">
        <v>212104.72053268534</v>
      </c>
      <c r="AJ68" s="41">
        <v>258553.59347692027</v>
      </c>
      <c r="AK68" s="41">
        <v>253850.54379942836</v>
      </c>
      <c r="AL68" s="41">
        <v>249147.49412193638</v>
      </c>
      <c r="AM68" s="41">
        <v>246795.96928319041</v>
      </c>
      <c r="AN68" s="41"/>
      <c r="AO68" s="32" t="s">
        <v>151</v>
      </c>
      <c r="AP68" s="41">
        <f t="shared" si="13"/>
        <v>238370.93967604134</v>
      </c>
      <c r="AR68" s="41"/>
    </row>
    <row r="69" spans="1:44" x14ac:dyDescent="0.3">
      <c r="D69" s="42" t="s">
        <v>152</v>
      </c>
      <c r="E69" s="43">
        <v>631653.40773500002</v>
      </c>
      <c r="F69" s="43">
        <v>1964.6677704900001</v>
      </c>
      <c r="G69" s="43">
        <v>2851.6573410599999</v>
      </c>
      <c r="H69" s="43">
        <v>626837.08262400003</v>
      </c>
      <c r="I69" s="43">
        <v>0.68330484565500005</v>
      </c>
      <c r="J69" s="44">
        <v>2842.7874759400001</v>
      </c>
      <c r="K69" s="35">
        <f t="shared" ref="K69:K93" si="20">E69-Q69-F69-G69-I69-J69</f>
        <v>620774.84458527435</v>
      </c>
      <c r="L69" s="36">
        <f t="shared" ref="L69:L93" si="21">K69/K$94</f>
        <v>1.662117367883546E-2</v>
      </c>
      <c r="M69" s="45">
        <v>14723</v>
      </c>
      <c r="N69" s="38">
        <f t="shared" ref="N69:N93" si="22">$M69/$M$94</f>
        <v>2.5800430176567257E-3</v>
      </c>
      <c r="O69" s="38">
        <f t="shared" ref="O69:O93" si="23">M69^(1/3)</f>
        <v>24.50936751327535</v>
      </c>
      <c r="P69" s="38">
        <f t="shared" ref="P69:P93" si="24">$O69/$O$94</f>
        <v>8.5351554216748053E-3</v>
      </c>
      <c r="Q69" s="76">
        <v>3218.7672573899999</v>
      </c>
      <c r="R69" s="43">
        <v>464.63205654299998</v>
      </c>
      <c r="S69" s="39">
        <f t="shared" ref="S69:S93" si="25">$R69/$R$94</f>
        <v>5.1034988934334745E-3</v>
      </c>
      <c r="T69" s="112">
        <f t="shared" ref="T69:T93" si="26">($L69*$C$13)+($P69*$C$10)+$B$34</f>
        <v>136854.26158727898</v>
      </c>
      <c r="U69" s="28">
        <f t="shared" ref="U69:U93" si="27">+($L69*$C$13)+($N69*$C$10)+$B$34</f>
        <v>129708.12670245729</v>
      </c>
      <c r="V69" s="28" t="e">
        <f>(#REF!*$C$13)+$B$34</f>
        <v>#REF!</v>
      </c>
      <c r="W69" s="28" t="e">
        <f t="shared" ref="W69:W93" si="28">+IF(V69&gt;$W$3,ABS($W$3-V69),0)</f>
        <v>#REF!</v>
      </c>
      <c r="X69" s="28" t="e">
        <f t="shared" ref="X69:X93" si="29">IF($X$3&gt;V69,(V69-$X$3)*-1,0)</f>
        <v>#REF!</v>
      </c>
      <c r="Y69" s="28" t="e">
        <f t="shared" ref="Y69:Y93" si="30">IF($V69&lt;=$W$3,$V69,$W$3)</f>
        <v>#REF!</v>
      </c>
      <c r="Z69" s="28" t="e">
        <f t="shared" ref="Z69:Z93" si="31">$Y69+$Y$101+X69</f>
        <v>#REF!</v>
      </c>
      <c r="AA69" s="16" t="e">
        <f t="shared" si="19"/>
        <v>#REF!</v>
      </c>
      <c r="AE69" s="41" t="e" cm="1">
        <f t="array" ref="AE69">_xlfn.IFS($V69&gt;$W$3,($W$3+$Y$101),$V69&lt;$X$3,($V69+$X69+$Y$101), $V69&lt;$W$3,$V69+$Y$101,$V69&gt;$X$3,$V69+$Y$101)</f>
        <v>#REF!</v>
      </c>
      <c r="AF69" s="41">
        <v>246273.21992250913</v>
      </c>
      <c r="AG69" s="41">
        <v>243532.06612430827</v>
      </c>
      <c r="AH69" s="41">
        <v>242268.05274257029</v>
      </c>
      <c r="AI69" s="41">
        <v>215471.49547323503</v>
      </c>
      <c r="AJ69" s="41">
        <v>270407.01384662197</v>
      </c>
      <c r="AK69" s="41">
        <v>261752.82404589618</v>
      </c>
      <c r="AL69" s="41">
        <v>253098.63424517031</v>
      </c>
      <c r="AM69" s="41">
        <v>248771.53934480736</v>
      </c>
      <c r="AN69" s="41"/>
      <c r="AO69" s="42" t="s">
        <v>152</v>
      </c>
      <c r="AP69" s="41">
        <f t="shared" ref="AP69:AP93" si="32">CHOOSE($AQ$2,$AE69,$AF69,$AG69,$AH69,$AI69,$AJ69,$AK69,$AL69,$AM69)</f>
        <v>246273.21992250913</v>
      </c>
      <c r="AR69" s="41"/>
    </row>
    <row r="70" spans="1:44" ht="15" thickBot="1" x14ac:dyDescent="0.35">
      <c r="D70" s="32" t="s">
        <v>153</v>
      </c>
      <c r="E70" s="33">
        <v>329914.00773200003</v>
      </c>
      <c r="F70" s="33">
        <v>494.50888146199998</v>
      </c>
      <c r="G70" s="33">
        <v>7990.7650147699997</v>
      </c>
      <c r="H70" s="33">
        <v>321428.73383600003</v>
      </c>
      <c r="I70" s="33">
        <v>0</v>
      </c>
      <c r="J70" s="34">
        <v>4524.0666053000004</v>
      </c>
      <c r="K70" s="35">
        <f t="shared" si="20"/>
        <v>304206.34672846808</v>
      </c>
      <c r="L70" s="36">
        <f t="shared" si="21"/>
        <v>8.145089265909098E-3</v>
      </c>
      <c r="M70" s="37">
        <v>67097</v>
      </c>
      <c r="N70" s="38">
        <f t="shared" si="22"/>
        <v>1.1758007631305667E-2</v>
      </c>
      <c r="O70" s="38">
        <f t="shared" si="23"/>
        <v>40.635072058865241</v>
      </c>
      <c r="P70" s="38">
        <f t="shared" si="24"/>
        <v>1.4150779509324894E-2</v>
      </c>
      <c r="Q70" s="76">
        <v>12698.320502</v>
      </c>
      <c r="R70" s="33">
        <v>574.367023539</v>
      </c>
      <c r="S70" s="39">
        <f t="shared" si="25"/>
        <v>6.3088231381742505E-3</v>
      </c>
      <c r="T70" s="112">
        <f t="shared" si="26"/>
        <v>133421.70919694746</v>
      </c>
      <c r="U70" s="28">
        <f t="shared" si="27"/>
        <v>130550.3829433244</v>
      </c>
      <c r="V70" s="28" t="e">
        <f>(#REF!*$C$13)+$B$34</f>
        <v>#REF!</v>
      </c>
      <c r="W70" s="28" t="e">
        <f t="shared" si="28"/>
        <v>#REF!</v>
      </c>
      <c r="X70" s="28" t="e">
        <f t="shared" si="29"/>
        <v>#REF!</v>
      </c>
      <c r="Y70" s="28" t="e">
        <f t="shared" si="30"/>
        <v>#REF!</v>
      </c>
      <c r="Z70" s="28" t="e">
        <f t="shared" si="31"/>
        <v>#REF!</v>
      </c>
      <c r="AA70" s="16" t="e">
        <f t="shared" si="19"/>
        <v>#REF!</v>
      </c>
      <c r="AE70" s="41" t="e" cm="1">
        <f t="array" ref="AE70">_xlfn.IFS($V70&gt;$W$3,($W$3+$Y$101),$V70&lt;$X$3,($V70+$X70+$Y$101), $V70&lt;$W$3,$V70+$Y$101,$V70&gt;$X$3,$V70+$Y$101)</f>
        <v>#REF!</v>
      </c>
      <c r="AF70" s="41">
        <v>265791.73510944715</v>
      </c>
      <c r="AG70" s="41">
        <v>279796.08243411046</v>
      </c>
      <c r="AH70" s="41">
        <v>295661.98286425858</v>
      </c>
      <c r="AI70" s="41">
        <v>239775.05381830269</v>
      </c>
      <c r="AJ70" s="41">
        <v>221539.99364810166</v>
      </c>
      <c r="AK70" s="41">
        <v>229174.81058021594</v>
      </c>
      <c r="AL70" s="41">
        <v>236809.62751233019</v>
      </c>
      <c r="AM70" s="41">
        <v>240627.03597838731</v>
      </c>
      <c r="AN70" s="41"/>
      <c r="AO70" s="32" t="s">
        <v>153</v>
      </c>
      <c r="AP70" s="41">
        <f t="shared" si="32"/>
        <v>265791.73510944715</v>
      </c>
      <c r="AR70" s="41"/>
    </row>
    <row r="71" spans="1:44" ht="32.4" x14ac:dyDescent="0.6">
      <c r="A71" s="62" t="s">
        <v>154</v>
      </c>
      <c r="B71" s="63"/>
      <c r="C71" s="64" t="s">
        <v>155</v>
      </c>
      <c r="D71" s="42" t="s">
        <v>156</v>
      </c>
      <c r="E71" s="43">
        <v>309222.55865000002</v>
      </c>
      <c r="F71" s="43">
        <v>930.15766613599999</v>
      </c>
      <c r="G71" s="43">
        <v>2514.1984283100001</v>
      </c>
      <c r="H71" s="43">
        <v>305778.20255599997</v>
      </c>
      <c r="I71" s="43">
        <v>0</v>
      </c>
      <c r="J71" s="44">
        <v>1321.7061883900001</v>
      </c>
      <c r="K71" s="35">
        <f t="shared" si="20"/>
        <v>304426.28524342476</v>
      </c>
      <c r="L71" s="36">
        <f t="shared" si="21"/>
        <v>8.1509780938595969E-3</v>
      </c>
      <c r="M71" s="45">
        <v>9704</v>
      </c>
      <c r="N71" s="38">
        <f t="shared" si="22"/>
        <v>1.7005187423311055E-3</v>
      </c>
      <c r="O71" s="38">
        <f t="shared" si="23"/>
        <v>21.329643459047809</v>
      </c>
      <c r="P71" s="38">
        <f t="shared" si="24"/>
        <v>7.4278465942980857E-3</v>
      </c>
      <c r="Q71" s="76">
        <v>30.2111237393</v>
      </c>
      <c r="R71" s="43">
        <v>375.98549434</v>
      </c>
      <c r="S71" s="39">
        <f t="shared" si="25"/>
        <v>4.129808796637875E-3</v>
      </c>
      <c r="T71" s="112">
        <f t="shared" si="26"/>
        <v>125361.25629245589</v>
      </c>
      <c r="U71" s="28">
        <f t="shared" si="27"/>
        <v>118488.46287009551</v>
      </c>
      <c r="V71" s="28" t="e">
        <f>(#REF!*$C$13)+$B$34</f>
        <v>#REF!</v>
      </c>
      <c r="W71" s="28" t="e">
        <f t="shared" si="28"/>
        <v>#REF!</v>
      </c>
      <c r="X71" s="28" t="e">
        <f t="shared" si="29"/>
        <v>#REF!</v>
      </c>
      <c r="Y71" s="28" t="e">
        <f t="shared" si="30"/>
        <v>#REF!</v>
      </c>
      <c r="Z71" s="28" t="e">
        <f t="shared" si="31"/>
        <v>#REF!</v>
      </c>
      <c r="AA71" s="16" t="e">
        <f t="shared" si="19"/>
        <v>#REF!</v>
      </c>
      <c r="AE71" s="41" t="e" cm="1">
        <f t="array" ref="AE71">_xlfn.IFS($V71&gt;$W$3,($W$3+$Y$101),$V71&lt;$X$3,($V71+$X71+$Y$101), $V71&lt;$W$3,$V71+$Y$101,$V71&gt;$X$3,$V71+$Y$101)</f>
        <v>#REF!</v>
      </c>
      <c r="AF71" s="41">
        <v>206716.90933691876</v>
      </c>
      <c r="AG71" s="41">
        <v>206229.56399450402</v>
      </c>
      <c r="AH71" s="41">
        <v>205908.6916869363</v>
      </c>
      <c r="AI71" s="41">
        <v>194723.05370390095</v>
      </c>
      <c r="AJ71" s="41">
        <v>219559.12239192222</v>
      </c>
      <c r="AK71" s="41">
        <v>227854.22974276298</v>
      </c>
      <c r="AL71" s="41">
        <v>236149.33709360371</v>
      </c>
      <c r="AM71" s="41">
        <v>240296.89076902406</v>
      </c>
      <c r="AN71" s="41"/>
      <c r="AO71" s="42" t="s">
        <v>156</v>
      </c>
      <c r="AP71" s="41">
        <f t="shared" si="32"/>
        <v>206716.90933691876</v>
      </c>
      <c r="AR71" s="41"/>
    </row>
    <row r="72" spans="1:44" x14ac:dyDescent="0.3">
      <c r="A72" s="65" t="s">
        <v>157</v>
      </c>
      <c r="C72" s="66"/>
      <c r="D72" s="32" t="s">
        <v>158</v>
      </c>
      <c r="E72" s="33">
        <v>363938.269959</v>
      </c>
      <c r="F72" s="33">
        <v>14941.217384899999</v>
      </c>
      <c r="G72" s="33">
        <v>19567.684789999999</v>
      </c>
      <c r="H72" s="33">
        <v>329429.367784</v>
      </c>
      <c r="I72" s="33">
        <v>143.886944296</v>
      </c>
      <c r="J72" s="34">
        <v>1721.5815850399999</v>
      </c>
      <c r="K72" s="35">
        <f t="shared" si="20"/>
        <v>315225.56960916391</v>
      </c>
      <c r="L72" s="36">
        <f t="shared" si="21"/>
        <v>8.4401276665520934E-3</v>
      </c>
      <c r="M72" s="37">
        <v>18843</v>
      </c>
      <c r="N72" s="38">
        <f t="shared" si="22"/>
        <v>3.3020274795697675E-3</v>
      </c>
      <c r="O72" s="38">
        <f t="shared" si="23"/>
        <v>26.610315030148065</v>
      </c>
      <c r="P72" s="38">
        <f t="shared" si="24"/>
        <v>9.2667905232161913E-3</v>
      </c>
      <c r="Q72" s="76">
        <v>12338.329645600001</v>
      </c>
      <c r="R72" s="33">
        <v>658.16843544300002</v>
      </c>
      <c r="S72" s="39">
        <f t="shared" si="25"/>
        <v>7.2292943086360896E-3</v>
      </c>
      <c r="T72" s="112">
        <f t="shared" si="26"/>
        <v>127914.96849438861</v>
      </c>
      <c r="U72" s="28">
        <f t="shared" si="27"/>
        <v>120757.25284201291</v>
      </c>
      <c r="V72" s="28" t="e">
        <f>(#REF!*$C$13)+$B$34</f>
        <v>#REF!</v>
      </c>
      <c r="W72" s="28" t="e">
        <f t="shared" si="28"/>
        <v>#REF!</v>
      </c>
      <c r="X72" s="28" t="e">
        <f t="shared" si="29"/>
        <v>#REF!</v>
      </c>
      <c r="Y72" s="28" t="e">
        <f t="shared" si="30"/>
        <v>#REF!</v>
      </c>
      <c r="Z72" s="28" t="e">
        <f t="shared" si="31"/>
        <v>#REF!</v>
      </c>
      <c r="AA72" s="16" t="e">
        <f t="shared" si="19"/>
        <v>#REF!</v>
      </c>
      <c r="AE72" s="41" t="e" cm="1">
        <f t="array" ref="AE72">_xlfn.IFS($V72&gt;$W$3,($W$3+$Y$101),$V72&lt;$X$3,($V72+$X72+$Y$101), $V72&lt;$W$3,$V72+$Y$101,$V72&gt;$X$3,$V72+$Y$101)</f>
        <v>#REF!</v>
      </c>
      <c r="AF72" s="41">
        <v>214841.26976615438</v>
      </c>
      <c r="AG72" s="41">
        <v>212100.11596795352</v>
      </c>
      <c r="AH72" s="41">
        <v>214696.21494346933</v>
      </c>
      <c r="AI72" s="41">
        <v>202970.29983014095</v>
      </c>
      <c r="AJ72" s="41">
        <v>223259.08861208986</v>
      </c>
      <c r="AK72" s="41">
        <v>230320.87388954143</v>
      </c>
      <c r="AL72" s="41">
        <v>237382.65916699293</v>
      </c>
      <c r="AM72" s="41">
        <v>240913.55180571869</v>
      </c>
      <c r="AN72" s="41"/>
      <c r="AO72" s="32" t="s">
        <v>158</v>
      </c>
      <c r="AP72" s="41">
        <f t="shared" si="32"/>
        <v>214841.26976615438</v>
      </c>
      <c r="AR72" s="41"/>
    </row>
    <row r="73" spans="1:44" x14ac:dyDescent="0.3">
      <c r="A73" s="65" t="s">
        <v>191</v>
      </c>
      <c r="C73" s="66"/>
      <c r="D73" s="42" t="s">
        <v>159</v>
      </c>
      <c r="E73" s="43">
        <v>1074045.21432</v>
      </c>
      <c r="F73" s="43">
        <v>28731.250961999998</v>
      </c>
      <c r="G73" s="43">
        <v>263295.13304599997</v>
      </c>
      <c r="H73" s="43">
        <v>782018.83030999999</v>
      </c>
      <c r="I73" s="43">
        <v>6430.61535439</v>
      </c>
      <c r="J73" s="44">
        <v>12286.0561681</v>
      </c>
      <c r="K73" s="35">
        <f t="shared" si="20"/>
        <v>738664.47133771004</v>
      </c>
      <c r="L73" s="36">
        <f t="shared" si="21"/>
        <v>1.9777654612747005E-2</v>
      </c>
      <c r="M73" s="45">
        <v>15331</v>
      </c>
      <c r="N73" s="38">
        <f t="shared" si="22"/>
        <v>2.6865882974730195E-3</v>
      </c>
      <c r="O73" s="38">
        <f t="shared" si="23"/>
        <v>24.842206139311266</v>
      </c>
      <c r="P73" s="38">
        <f t="shared" si="24"/>
        <v>8.6510633251331275E-3</v>
      </c>
      <c r="Q73" s="76">
        <v>24637.6874518</v>
      </c>
      <c r="R73" s="43">
        <v>825.43723192699997</v>
      </c>
      <c r="S73" s="39">
        <f t="shared" si="25"/>
        <v>9.0665677075347732E-3</v>
      </c>
      <c r="T73" s="112">
        <f t="shared" si="26"/>
        <v>140781.12819212282</v>
      </c>
      <c r="U73" s="28">
        <f t="shared" si="27"/>
        <v>133623.75815893069</v>
      </c>
      <c r="V73" s="28" t="e">
        <f>(#REF!*$C$13)+$B$34</f>
        <v>#REF!</v>
      </c>
      <c r="W73" s="28" t="e">
        <f t="shared" si="28"/>
        <v>#REF!</v>
      </c>
      <c r="X73" s="28" t="e">
        <f t="shared" si="29"/>
        <v>#REF!</v>
      </c>
      <c r="Y73" s="28" t="e">
        <f t="shared" si="30"/>
        <v>#REF!</v>
      </c>
      <c r="Z73" s="28" t="e">
        <f t="shared" si="31"/>
        <v>#REF!</v>
      </c>
      <c r="AA73" s="16" t="e">
        <f t="shared" si="19"/>
        <v>#REF!</v>
      </c>
      <c r="AE73" s="41" t="e" cm="1">
        <f t="array" ref="AE73">_xlfn.IFS($V73&gt;$W$3,($W$3+$Y$101),$V73&lt;$X$3,($V73+$X73+$Y$101), $V73&lt;$W$3,$V73+$Y$101,$V73&gt;$X$3,$V73+$Y$101)</f>
        <v>#REF!</v>
      </c>
      <c r="AF73" s="41">
        <v>261734.08118121227</v>
      </c>
      <c r="AG73" s="41">
        <v>258992.92738301141</v>
      </c>
      <c r="AH73" s="41">
        <v>257728.91400127343</v>
      </c>
      <c r="AI73" s="41">
        <v>223703.0308106931</v>
      </c>
      <c r="AJ73" s="41">
        <v>293598.30573467666</v>
      </c>
      <c r="AK73" s="41">
        <v>277213.68530459929</v>
      </c>
      <c r="AL73" s="41">
        <v>260829.06487452186</v>
      </c>
      <c r="AM73" s="41">
        <v>252636.75465948315</v>
      </c>
      <c r="AN73" s="41"/>
      <c r="AO73" s="42" t="s">
        <v>159</v>
      </c>
      <c r="AP73" s="41">
        <f t="shared" si="32"/>
        <v>261734.08118121227</v>
      </c>
      <c r="AR73" s="41"/>
    </row>
    <row r="74" spans="1:44" x14ac:dyDescent="0.3">
      <c r="A74" s="65"/>
      <c r="C74" s="66"/>
      <c r="D74" s="32" t="s">
        <v>160</v>
      </c>
      <c r="E74" s="33">
        <v>3202394.0501299999</v>
      </c>
      <c r="F74" s="33">
        <v>886281.79994199995</v>
      </c>
      <c r="G74" s="33">
        <v>953724.70890900004</v>
      </c>
      <c r="H74" s="33">
        <v>1362387.54128</v>
      </c>
      <c r="I74" s="33">
        <v>13502.4279296</v>
      </c>
      <c r="J74" s="34">
        <v>30443.010539300001</v>
      </c>
      <c r="K74" s="35">
        <f t="shared" si="20"/>
        <v>1034128.3654460998</v>
      </c>
      <c r="L74" s="36">
        <f t="shared" si="21"/>
        <v>2.7688665734793186E-2</v>
      </c>
      <c r="M74" s="37">
        <v>71846</v>
      </c>
      <c r="N74" s="38">
        <f t="shared" si="22"/>
        <v>1.2590217390923393E-2</v>
      </c>
      <c r="O74" s="38">
        <f t="shared" si="23"/>
        <v>41.571994834554616</v>
      </c>
      <c r="P74" s="38">
        <f t="shared" si="24"/>
        <v>1.4477054004343355E-2</v>
      </c>
      <c r="Q74" s="76">
        <v>284313.737364</v>
      </c>
      <c r="R74" s="33">
        <v>6570.16332719</v>
      </c>
      <c r="S74" s="39">
        <f t="shared" si="25"/>
        <v>7.2166396609546477E-2</v>
      </c>
      <c r="T74" s="112">
        <f t="shared" si="26"/>
        <v>157265.53035363051</v>
      </c>
      <c r="U74" s="28">
        <f t="shared" si="27"/>
        <v>155001.32641752658</v>
      </c>
      <c r="V74" s="28" t="e">
        <f>(#REF!*$C$13)+$B$34</f>
        <v>#REF!</v>
      </c>
      <c r="W74" s="28" t="e">
        <f t="shared" si="28"/>
        <v>#REF!</v>
      </c>
      <c r="X74" s="28" t="e">
        <f t="shared" si="29"/>
        <v>#REF!</v>
      </c>
      <c r="Y74" s="28" t="e">
        <f t="shared" si="30"/>
        <v>#REF!</v>
      </c>
      <c r="Z74" s="28" t="e">
        <f t="shared" si="31"/>
        <v>#REF!</v>
      </c>
      <c r="AA74" s="16" t="e">
        <f t="shared" si="19"/>
        <v>#REF!</v>
      </c>
      <c r="AE74" s="41" t="e" cm="1">
        <f t="array" ref="AE74">_xlfn.IFS($V74&gt;$W$3,($W$3+$Y$101),$V74&lt;$X$3,($V74+$X74+$Y$101), $V74&lt;$W$3,$V74+$Y$101,$V74&gt;$X$3,$V74+$Y$101)</f>
        <v>#REF!</v>
      </c>
      <c r="AF74" s="41">
        <v>373473.59517715033</v>
      </c>
      <c r="AG74" s="41">
        <v>387477.9425018137</v>
      </c>
      <c r="AH74" s="41">
        <v>403343.84293196176</v>
      </c>
      <c r="AI74" s="41">
        <v>280150.14394985221</v>
      </c>
      <c r="AJ74" s="41">
        <v>383062.78374965652</v>
      </c>
      <c r="AK74" s="41">
        <v>336856.67064791918</v>
      </c>
      <c r="AL74" s="41">
        <v>290650.55754618184</v>
      </c>
      <c r="AM74" s="41">
        <v>267547.50099531311</v>
      </c>
      <c r="AN74" s="41"/>
      <c r="AO74" s="32" t="s">
        <v>160</v>
      </c>
      <c r="AP74" s="41">
        <f t="shared" si="32"/>
        <v>373473.59517715033</v>
      </c>
      <c r="AR74" s="41"/>
    </row>
    <row r="75" spans="1:44" x14ac:dyDescent="0.3">
      <c r="C75" s="66"/>
      <c r="D75" s="42" t="s">
        <v>161</v>
      </c>
      <c r="E75" s="43">
        <v>1109692.26608</v>
      </c>
      <c r="F75" s="43">
        <v>525.87374816600004</v>
      </c>
      <c r="G75" s="43">
        <v>544370.40702699998</v>
      </c>
      <c r="H75" s="43">
        <v>564795.98530299996</v>
      </c>
      <c r="I75" s="43">
        <v>22975.9762854</v>
      </c>
      <c r="J75" s="44">
        <v>23312.329373699999</v>
      </c>
      <c r="K75" s="35">
        <f t="shared" si="20"/>
        <v>480239.0682751339</v>
      </c>
      <c r="L75" s="36">
        <f t="shared" si="21"/>
        <v>1.2858344745744016E-2</v>
      </c>
      <c r="M75" s="45">
        <v>128385</v>
      </c>
      <c r="N75" s="38">
        <f t="shared" si="22"/>
        <v>2.2498052219103358E-2</v>
      </c>
      <c r="O75" s="38">
        <f t="shared" si="23"/>
        <v>50.447319504382698</v>
      </c>
      <c r="P75" s="38">
        <f t="shared" si="24"/>
        <v>1.7567801875898039E-2</v>
      </c>
      <c r="Q75" s="76">
        <v>38268.611370600003</v>
      </c>
      <c r="R75" s="43">
        <v>1796.0627734699999</v>
      </c>
      <c r="S75" s="39">
        <f t="shared" si="25"/>
        <v>1.9727877678394543E-2</v>
      </c>
      <c r="T75" s="112">
        <f t="shared" si="26"/>
        <v>143178.04261263713</v>
      </c>
      <c r="U75" s="28">
        <f t="shared" si="27"/>
        <v>149094.34302448353</v>
      </c>
      <c r="V75" s="28" t="e">
        <f>(#REF!*$C$13)+$B$34</f>
        <v>#REF!</v>
      </c>
      <c r="W75" s="28" t="e">
        <f t="shared" si="28"/>
        <v>#REF!</v>
      </c>
      <c r="X75" s="28" t="e">
        <f t="shared" si="29"/>
        <v>#REF!</v>
      </c>
      <c r="Y75" s="28" t="e">
        <f t="shared" si="30"/>
        <v>#REF!</v>
      </c>
      <c r="Z75" s="28" t="e">
        <f t="shared" si="31"/>
        <v>#REF!</v>
      </c>
      <c r="AA75" s="16" t="e">
        <f t="shared" si="19"/>
        <v>#REF!</v>
      </c>
      <c r="AE75" s="41" t="e" cm="1">
        <f t="array" ref="AE75">_xlfn.IFS($V75&gt;$W$3,($W$3+$Y$101),$V75&lt;$X$3,($V75+$X75+$Y$101), $V75&lt;$W$3,$V75+$Y$101,$V75&gt;$X$3,$V75+$Y$101)</f>
        <v>#REF!</v>
      </c>
      <c r="AF75" s="41">
        <v>289616.49717524892</v>
      </c>
      <c r="AG75" s="41">
        <v>303620.84449991235</v>
      </c>
      <c r="AH75" s="41">
        <v>319486.74493006041</v>
      </c>
      <c r="AI75" s="41">
        <v>315000.08739466046</v>
      </c>
      <c r="AJ75" s="41">
        <v>257277.1367468044</v>
      </c>
      <c r="AK75" s="41">
        <v>252999.57264601777</v>
      </c>
      <c r="AL75" s="41">
        <v>248722.0085452311</v>
      </c>
      <c r="AM75" s="41">
        <v>246583.22649483779</v>
      </c>
      <c r="AN75" s="41"/>
      <c r="AO75" s="42" t="s">
        <v>161</v>
      </c>
      <c r="AP75" s="41">
        <f t="shared" si="32"/>
        <v>289616.49717524892</v>
      </c>
      <c r="AR75" s="41"/>
    </row>
    <row r="76" spans="1:44" x14ac:dyDescent="0.3">
      <c r="A76" s="65"/>
      <c r="C76" s="66"/>
      <c r="D76" s="32" t="s">
        <v>162</v>
      </c>
      <c r="E76" s="33">
        <v>235434.10308199999</v>
      </c>
      <c r="F76" s="33">
        <v>4473.4932468099996</v>
      </c>
      <c r="G76" s="33">
        <v>7057.9972792799999</v>
      </c>
      <c r="H76" s="33">
        <v>223902.61255600001</v>
      </c>
      <c r="I76" s="33">
        <v>4192.4991407099997</v>
      </c>
      <c r="J76" s="34">
        <v>7268.9991289999998</v>
      </c>
      <c r="K76" s="35">
        <f t="shared" si="20"/>
        <v>201163.10330699998</v>
      </c>
      <c r="L76" s="36">
        <f t="shared" si="21"/>
        <v>5.386118504967655E-3</v>
      </c>
      <c r="M76" s="37">
        <v>150928</v>
      </c>
      <c r="N76" s="38">
        <f t="shared" si="22"/>
        <v>2.6448463802818335E-2</v>
      </c>
      <c r="O76" s="38">
        <f t="shared" si="23"/>
        <v>53.242275176761368</v>
      </c>
      <c r="P76" s="38">
        <f t="shared" si="24"/>
        <v>1.8541118753517275E-2</v>
      </c>
      <c r="Q76" s="76">
        <v>11278.0109792</v>
      </c>
      <c r="R76" s="33">
        <v>691.81421422799997</v>
      </c>
      <c r="S76" s="39">
        <f t="shared" si="25"/>
        <v>7.5988581223676195E-3</v>
      </c>
      <c r="T76" s="112">
        <f t="shared" si="26"/>
        <v>135379.35137684859</v>
      </c>
      <c r="U76" s="28">
        <f t="shared" si="27"/>
        <v>144868.16543600988</v>
      </c>
      <c r="V76" s="28" t="e">
        <f>(#REF!*$C$13)+$B$34</f>
        <v>#REF!</v>
      </c>
      <c r="W76" s="28" t="e">
        <f t="shared" si="28"/>
        <v>#REF!</v>
      </c>
      <c r="X76" s="28" t="e">
        <f t="shared" si="29"/>
        <v>#REF!</v>
      </c>
      <c r="Y76" s="28" t="e">
        <f t="shared" si="30"/>
        <v>#REF!</v>
      </c>
      <c r="Z76" s="28" t="e">
        <f t="shared" si="31"/>
        <v>#REF!</v>
      </c>
      <c r="AA76" s="16" t="e">
        <f t="shared" si="19"/>
        <v>#REF!</v>
      </c>
      <c r="AE76" s="41" t="e" cm="1">
        <f t="array" ref="AE76">_xlfn.IFS($V76&gt;$W$3,($W$3+$Y$101),$V76&lt;$X$3,($V76+$X76+$Y$101), $V76&lt;$W$3,$V76+$Y$101,$V76&gt;$X$3,$V76+$Y$101)</f>
        <v>#REF!</v>
      </c>
      <c r="AF76" s="41">
        <v>255925.34199003279</v>
      </c>
      <c r="AG76" s="41">
        <v>269929.68931469612</v>
      </c>
      <c r="AH76" s="41">
        <v>285795.58974484424</v>
      </c>
      <c r="AI76" s="41">
        <v>301146.49037460826</v>
      </c>
      <c r="AJ76" s="41">
        <v>206740.40396898019</v>
      </c>
      <c r="AK76" s="41">
        <v>219308.4174608016</v>
      </c>
      <c r="AL76" s="41">
        <v>231876.43095262302</v>
      </c>
      <c r="AM76" s="41">
        <v>238160.43769853373</v>
      </c>
      <c r="AN76" s="41"/>
      <c r="AO76" s="32" t="s">
        <v>162</v>
      </c>
      <c r="AP76" s="41">
        <f t="shared" si="32"/>
        <v>255925.34199003279</v>
      </c>
      <c r="AR76" s="41"/>
    </row>
    <row r="77" spans="1:44" x14ac:dyDescent="0.3">
      <c r="A77" s="65"/>
      <c r="C77" s="66"/>
      <c r="D77" s="42" t="s">
        <v>163</v>
      </c>
      <c r="E77" s="43">
        <v>288362.85801800003</v>
      </c>
      <c r="F77" s="43">
        <v>30436.8007272</v>
      </c>
      <c r="G77" s="43">
        <v>9050.1816949599997</v>
      </c>
      <c r="H77" s="43">
        <v>248875.875596</v>
      </c>
      <c r="I77" s="43">
        <v>0</v>
      </c>
      <c r="J77" s="44">
        <v>7274.8334816899996</v>
      </c>
      <c r="K77" s="35">
        <f t="shared" si="20"/>
        <v>232637.23158727001</v>
      </c>
      <c r="L77" s="36">
        <f t="shared" si="21"/>
        <v>6.2288345993767496E-3</v>
      </c>
      <c r="M77" s="45">
        <v>97183</v>
      </c>
      <c r="N77" s="38">
        <f t="shared" si="22"/>
        <v>1.7030246592741532E-2</v>
      </c>
      <c r="O77" s="38">
        <f t="shared" si="23"/>
        <v>45.975885281082071</v>
      </c>
      <c r="P77" s="38">
        <f t="shared" si="24"/>
        <v>1.6010667199411788E-2</v>
      </c>
      <c r="Q77" s="76">
        <v>8963.8105268800009</v>
      </c>
      <c r="R77" s="43">
        <v>624.917158782</v>
      </c>
      <c r="S77" s="39">
        <f t="shared" si="25"/>
        <v>6.8640636895796556E-3</v>
      </c>
      <c r="T77" s="112">
        <f t="shared" si="26"/>
        <v>133354.06882521292</v>
      </c>
      <c r="U77" s="28">
        <f t="shared" si="27"/>
        <v>134577.56409720861</v>
      </c>
      <c r="V77" s="28" t="e">
        <f>(#REF!*$C$13)+$B$34</f>
        <v>#REF!</v>
      </c>
      <c r="W77" s="28" t="e">
        <f t="shared" si="28"/>
        <v>#REF!</v>
      </c>
      <c r="X77" s="28" t="e">
        <f t="shared" si="29"/>
        <v>#REF!</v>
      </c>
      <c r="Y77" s="28" t="e">
        <f t="shared" si="30"/>
        <v>#REF!</v>
      </c>
      <c r="Z77" s="28" t="e">
        <f t="shared" si="31"/>
        <v>#REF!</v>
      </c>
      <c r="AA77" s="16" t="e">
        <f t="shared" si="19"/>
        <v>#REF!</v>
      </c>
      <c r="AE77" s="41" t="e" cm="1">
        <f t="array" ref="AE77">_xlfn.IFS($V77&gt;$W$3,($W$3+$Y$101),$V77&lt;$X$3,($V77+$X77+$Y$101), $V77&lt;$W$3,$V77+$Y$101,$V77&gt;$X$3,$V77+$Y$101)</f>
        <v>#REF!</v>
      </c>
      <c r="AF77" s="41">
        <v>257803.04942932812</v>
      </c>
      <c r="AG77" s="41">
        <v>271807.39675399149</v>
      </c>
      <c r="AH77" s="41">
        <v>287673.29718413961</v>
      </c>
      <c r="AI77" s="41">
        <v>260305.5463232958</v>
      </c>
      <c r="AJ77" s="41">
        <v>209556.96512792318</v>
      </c>
      <c r="AK77" s="41">
        <v>221186.12490009694</v>
      </c>
      <c r="AL77" s="41">
        <v>232815.2846722707</v>
      </c>
      <c r="AM77" s="41">
        <v>238629.86455835757</v>
      </c>
      <c r="AN77" s="41"/>
      <c r="AO77" s="42" t="s">
        <v>163</v>
      </c>
      <c r="AP77" s="41">
        <f t="shared" si="32"/>
        <v>257803.04942932812</v>
      </c>
      <c r="AR77" s="41"/>
    </row>
    <row r="78" spans="1:44" x14ac:dyDescent="0.3">
      <c r="A78" s="65"/>
      <c r="C78" s="66"/>
      <c r="D78" s="32" t="s">
        <v>164</v>
      </c>
      <c r="E78" s="33">
        <v>384226.03868499998</v>
      </c>
      <c r="F78" s="33">
        <v>989.41455409299999</v>
      </c>
      <c r="G78" s="33">
        <v>2365.78177542</v>
      </c>
      <c r="H78" s="33">
        <v>380870.84235499997</v>
      </c>
      <c r="I78" s="33">
        <v>0</v>
      </c>
      <c r="J78" s="34">
        <v>2018.5697721900001</v>
      </c>
      <c r="K78" s="35">
        <f t="shared" si="20"/>
        <v>367649.50481559697</v>
      </c>
      <c r="L78" s="36">
        <f t="shared" si="21"/>
        <v>9.8437723850752293E-3</v>
      </c>
      <c r="M78" s="37">
        <v>14836</v>
      </c>
      <c r="N78" s="38">
        <f t="shared" si="22"/>
        <v>2.5998450186752145E-3</v>
      </c>
      <c r="O78" s="38">
        <f t="shared" si="23"/>
        <v>24.571911448441377</v>
      </c>
      <c r="P78" s="38">
        <f t="shared" si="24"/>
        <v>8.5569357555425017E-3</v>
      </c>
      <c r="Q78" s="76">
        <v>11202.767767699999</v>
      </c>
      <c r="R78" s="33">
        <v>442.49528589400001</v>
      </c>
      <c r="S78" s="39">
        <f t="shared" si="25"/>
        <v>4.8603495391854497E-3</v>
      </c>
      <c r="T78" s="112">
        <f t="shared" si="26"/>
        <v>128747.51643540795</v>
      </c>
      <c r="U78" s="28">
        <f t="shared" si="27"/>
        <v>121599.0075511672</v>
      </c>
      <c r="V78" s="28" t="e">
        <f>(#REF!*$C$13)+$B$34</f>
        <v>#REF!</v>
      </c>
      <c r="W78" s="28" t="e">
        <f t="shared" si="28"/>
        <v>#REF!</v>
      </c>
      <c r="X78" s="28" t="e">
        <f t="shared" si="29"/>
        <v>#REF!</v>
      </c>
      <c r="Y78" s="28" t="e">
        <f t="shared" si="30"/>
        <v>#REF!</v>
      </c>
      <c r="Z78" s="28" t="e">
        <f t="shared" si="31"/>
        <v>#REF!</v>
      </c>
      <c r="AA78" s="16" t="e">
        <f t="shared" si="19"/>
        <v>#REF!</v>
      </c>
      <c r="AE78" s="41" t="e" cm="1">
        <f t="array" ref="AE78">_xlfn.IFS($V78&gt;$W$3,($W$3+$Y$101),$V78&lt;$X$3,($V78+$X78+$Y$101), $V78&lt;$W$3,$V78+$Y$101,$V78&gt;$X$3,$V78+$Y$101)</f>
        <v>#REF!</v>
      </c>
      <c r="AF78" s="41">
        <v>220267.00093598434</v>
      </c>
      <c r="AG78" s="41">
        <v>217525.84713778348</v>
      </c>
      <c r="AH78" s="41">
        <v>216261.8337560455</v>
      </c>
      <c r="AI78" s="41">
        <v>202706.60344890325</v>
      </c>
      <c r="AJ78" s="41">
        <v>231397.68536683478</v>
      </c>
      <c r="AK78" s="41">
        <v>235746.60505937136</v>
      </c>
      <c r="AL78" s="41">
        <v>240095.52475190788</v>
      </c>
      <c r="AM78" s="41">
        <v>242269.98459817618</v>
      </c>
      <c r="AN78" s="41"/>
      <c r="AO78" s="32" t="s">
        <v>164</v>
      </c>
      <c r="AP78" s="41">
        <f t="shared" si="32"/>
        <v>220267.00093598434</v>
      </c>
      <c r="AR78" s="41"/>
    </row>
    <row r="79" spans="1:44" x14ac:dyDescent="0.3">
      <c r="A79" s="78"/>
      <c r="C79" s="66"/>
      <c r="D79" s="42" t="s">
        <v>165</v>
      </c>
      <c r="E79" s="43">
        <v>889303.05865699996</v>
      </c>
      <c r="F79" s="43">
        <v>9871.7685973299995</v>
      </c>
      <c r="G79" s="43">
        <v>12624.0335651</v>
      </c>
      <c r="H79" s="43">
        <v>866807.25649499998</v>
      </c>
      <c r="I79" s="43">
        <v>0</v>
      </c>
      <c r="J79" s="44">
        <v>10162.922176399999</v>
      </c>
      <c r="K79" s="35">
        <f t="shared" si="20"/>
        <v>823628.37177827</v>
      </c>
      <c r="L79" s="36">
        <f t="shared" si="21"/>
        <v>2.2052553085150941E-2</v>
      </c>
      <c r="M79" s="45">
        <v>158292</v>
      </c>
      <c r="N79" s="38">
        <f t="shared" si="22"/>
        <v>2.7738923409014363E-2</v>
      </c>
      <c r="O79" s="38">
        <f t="shared" si="23"/>
        <v>54.094484787578331</v>
      </c>
      <c r="P79" s="38">
        <f t="shared" si="24"/>
        <v>1.8837892690104094E-2</v>
      </c>
      <c r="Q79" s="76">
        <v>33015.9625399</v>
      </c>
      <c r="R79" s="43">
        <v>1694.50514178</v>
      </c>
      <c r="S79" s="39">
        <f t="shared" si="25"/>
        <v>1.8612372939427677E-2</v>
      </c>
      <c r="T79" s="112">
        <f t="shared" si="26"/>
        <v>155735.20159697271</v>
      </c>
      <c r="U79" s="28">
        <f t="shared" si="27"/>
        <v>166416.43845966505</v>
      </c>
      <c r="V79" s="28" t="e">
        <f>(#REF!*$C$13)+$B$34</f>
        <v>#REF!</v>
      </c>
      <c r="W79" s="28" t="e">
        <f t="shared" si="28"/>
        <v>#REF!</v>
      </c>
      <c r="X79" s="28" t="e">
        <f t="shared" si="29"/>
        <v>#REF!</v>
      </c>
      <c r="Y79" s="28" t="e">
        <f t="shared" si="30"/>
        <v>#REF!</v>
      </c>
      <c r="Z79" s="28" t="e">
        <f t="shared" si="31"/>
        <v>#REF!</v>
      </c>
      <c r="AA79" s="16" t="e">
        <f t="shared" si="19"/>
        <v>#REF!</v>
      </c>
      <c r="AE79" s="41" t="e" cm="1">
        <f t="array" ref="AE79">_xlfn.IFS($V79&gt;$W$3,($W$3+$Y$101),$V79&lt;$X$3,($V79+$X79+$Y$101), $V79&lt;$W$3,$V79+$Y$101,$V79&gt;$X$3,$V79+$Y$101)</f>
        <v>#REF!</v>
      </c>
      <c r="AF79" s="41">
        <v>323050.73881339183</v>
      </c>
      <c r="AG79" s="41">
        <v>337055.08613805519</v>
      </c>
      <c r="AH79" s="41">
        <v>352920.98656820331</v>
      </c>
      <c r="AI79" s="41">
        <v>339087.30207449838</v>
      </c>
      <c r="AJ79" s="41">
        <v>307428.49920401874</v>
      </c>
      <c r="AK79" s="41">
        <v>286433.81428416068</v>
      </c>
      <c r="AL79" s="41">
        <v>265439.12936430256</v>
      </c>
      <c r="AM79" s="41">
        <v>254941.7869043735</v>
      </c>
      <c r="AN79" s="41"/>
      <c r="AO79" s="42" t="s">
        <v>165</v>
      </c>
      <c r="AP79" s="41">
        <f t="shared" si="32"/>
        <v>323050.73881339183</v>
      </c>
      <c r="AR79" s="41"/>
    </row>
    <row r="80" spans="1:44" x14ac:dyDescent="0.3">
      <c r="A80" s="65"/>
      <c r="C80" s="66"/>
      <c r="D80" s="32" t="s">
        <v>166</v>
      </c>
      <c r="E80" s="33">
        <v>276423.12974900001</v>
      </c>
      <c r="F80" s="33">
        <v>883.82426719800003</v>
      </c>
      <c r="G80" s="33">
        <v>4953.8500057299998</v>
      </c>
      <c r="H80" s="33">
        <v>270585.45547699998</v>
      </c>
      <c r="I80" s="33">
        <v>0</v>
      </c>
      <c r="J80" s="34">
        <v>2683.80804618</v>
      </c>
      <c r="K80" s="35">
        <f t="shared" si="20"/>
        <v>266141.14141526201</v>
      </c>
      <c r="L80" s="36">
        <f t="shared" si="21"/>
        <v>7.1258978567372063E-3</v>
      </c>
      <c r="M80" s="37">
        <v>37406</v>
      </c>
      <c r="N80" s="38">
        <f t="shared" si="22"/>
        <v>6.5549880539609784E-3</v>
      </c>
      <c r="O80" s="38">
        <f t="shared" si="23"/>
        <v>33.44365668215174</v>
      </c>
      <c r="P80" s="38">
        <f t="shared" si="24"/>
        <v>1.1646437122324259E-2</v>
      </c>
      <c r="Q80" s="76">
        <v>1760.50601463</v>
      </c>
      <c r="R80" s="33">
        <v>154.960267996</v>
      </c>
      <c r="S80" s="39">
        <f t="shared" si="25"/>
        <v>1.7020770416226142E-3</v>
      </c>
      <c r="T80" s="112">
        <f t="shared" si="26"/>
        <v>129193.46864154043</v>
      </c>
      <c r="U80" s="28">
        <f t="shared" si="27"/>
        <v>123083.72975950449</v>
      </c>
      <c r="V80" s="28" t="e">
        <f>(#REF!*$C$13)+$B$34</f>
        <v>#REF!</v>
      </c>
      <c r="W80" s="28" t="e">
        <f t="shared" si="28"/>
        <v>#REF!</v>
      </c>
      <c r="X80" s="28" t="e">
        <f t="shared" si="29"/>
        <v>#REF!</v>
      </c>
      <c r="Y80" s="28" t="e">
        <f t="shared" si="30"/>
        <v>#REF!</v>
      </c>
      <c r="Z80" s="28" t="e">
        <f t="shared" si="31"/>
        <v>#REF!</v>
      </c>
      <c r="AA80" s="16" t="e">
        <f t="shared" si="19"/>
        <v>#REF!</v>
      </c>
      <c r="AE80" s="41" t="e" cm="1">
        <f t="array" ref="AE80">_xlfn.IFS($V80&gt;$W$3,($W$3+$Y$101),$V80&lt;$X$3,($V80+$X80+$Y$101), $V80&lt;$W$3,$V80+$Y$101,$V80&gt;$X$3,$V80+$Y$101)</f>
        <v>#REF!</v>
      </c>
      <c r="AF80" s="41">
        <v>260593.18428325828</v>
      </c>
      <c r="AG80" s="41">
        <v>211882.3840197231</v>
      </c>
      <c r="AH80" s="41">
        <v>214544.05577520898</v>
      </c>
      <c r="AI80" s="41">
        <v>214114.93973814679</v>
      </c>
      <c r="AJ80" s="41">
        <v>213742.16740881841</v>
      </c>
      <c r="AK80" s="41">
        <v>223976.25975402709</v>
      </c>
      <c r="AL80" s="41">
        <v>234210.35209923578</v>
      </c>
      <c r="AM80" s="41">
        <v>239327.39827184009</v>
      </c>
      <c r="AN80" s="41"/>
      <c r="AO80" s="32" t="s">
        <v>166</v>
      </c>
      <c r="AP80" s="41">
        <f t="shared" si="32"/>
        <v>260593.18428325828</v>
      </c>
      <c r="AR80" s="41"/>
    </row>
    <row r="81" spans="1:44" x14ac:dyDescent="0.3">
      <c r="A81" s="65"/>
      <c r="C81" s="66"/>
      <c r="D81" s="42" t="s">
        <v>167</v>
      </c>
      <c r="E81" s="43">
        <v>368444.72645000002</v>
      </c>
      <c r="F81" s="43">
        <v>9826.3470430300003</v>
      </c>
      <c r="G81" s="43">
        <v>3801.66587875</v>
      </c>
      <c r="H81" s="43">
        <v>354816.71352799999</v>
      </c>
      <c r="I81" s="43">
        <v>0</v>
      </c>
      <c r="J81" s="44">
        <v>2806.0268397599998</v>
      </c>
      <c r="K81" s="35">
        <f t="shared" si="20"/>
        <v>339291.61277136003</v>
      </c>
      <c r="L81" s="36">
        <f t="shared" si="21"/>
        <v>9.0844931505118173E-3</v>
      </c>
      <c r="M81" s="45">
        <v>9671</v>
      </c>
      <c r="N81" s="38">
        <f t="shared" si="22"/>
        <v>1.6947358570779186E-3</v>
      </c>
      <c r="O81" s="38">
        <f t="shared" si="23"/>
        <v>21.305437714736659</v>
      </c>
      <c r="P81" s="38">
        <f t="shared" si="24"/>
        <v>7.4194171727848179E-3</v>
      </c>
      <c r="Q81" s="76">
        <v>12719.0739171</v>
      </c>
      <c r="R81" s="43">
        <v>641.44236813600003</v>
      </c>
      <c r="S81" s="39">
        <f t="shared" si="25"/>
        <v>7.0455758914698642E-3</v>
      </c>
      <c r="T81" s="112">
        <f t="shared" si="26"/>
        <v>126471.35905462263</v>
      </c>
      <c r="U81" s="28">
        <f t="shared" si="27"/>
        <v>119601.74147577435</v>
      </c>
      <c r="V81" s="28" t="e">
        <f>(#REF!*$C$13)+$B$34</f>
        <v>#REF!</v>
      </c>
      <c r="W81" s="28" t="e">
        <f t="shared" si="28"/>
        <v>#REF!</v>
      </c>
      <c r="X81" s="28" t="e">
        <f t="shared" si="29"/>
        <v>#REF!</v>
      </c>
      <c r="Y81" s="28" t="e">
        <f t="shared" si="30"/>
        <v>#REF!</v>
      </c>
      <c r="Z81" s="28" t="e">
        <f t="shared" si="31"/>
        <v>#REF!</v>
      </c>
      <c r="AA81" s="16" t="e">
        <f t="shared" si="19"/>
        <v>#REF!</v>
      </c>
      <c r="AE81" s="41" t="e" cm="1">
        <f t="array" ref="AE81">_xlfn.IFS($V81&gt;$W$3,($W$3+$Y$101),$V81&lt;$X$3,($V81+$X81+$Y$101), $V81&lt;$W$3,$V81+$Y$101,$V81&gt;$X$3,$V81+$Y$101)</f>
        <v>#REF!</v>
      </c>
      <c r="AF81" s="41">
        <v>211761.75915208482</v>
      </c>
      <c r="AG81" s="41">
        <v>211274.41380967008</v>
      </c>
      <c r="AH81" s="41">
        <v>213414.30825460318</v>
      </c>
      <c r="AI81" s="41">
        <v>197260.89721788725</v>
      </c>
      <c r="AJ81" s="41">
        <v>227126.3971146713</v>
      </c>
      <c r="AK81" s="41">
        <v>232899.07955792901</v>
      </c>
      <c r="AL81" s="41">
        <v>238671.76200118673</v>
      </c>
      <c r="AM81" s="41">
        <v>241558.10322281558</v>
      </c>
      <c r="AN81" s="41"/>
      <c r="AO81" s="42" t="s">
        <v>167</v>
      </c>
      <c r="AP81" s="41">
        <f t="shared" si="32"/>
        <v>211761.75915208482</v>
      </c>
      <c r="AR81" s="41"/>
    </row>
    <row r="82" spans="1:44" x14ac:dyDescent="0.3">
      <c r="A82" s="65"/>
      <c r="C82" s="66"/>
      <c r="D82" s="32" t="s">
        <v>168</v>
      </c>
      <c r="E82" s="33">
        <v>481408.83304699999</v>
      </c>
      <c r="F82" s="33">
        <v>8209.2772578399999</v>
      </c>
      <c r="G82" s="33">
        <v>11410.3365971</v>
      </c>
      <c r="H82" s="33">
        <v>461789.21919199999</v>
      </c>
      <c r="I82" s="33">
        <v>0</v>
      </c>
      <c r="J82" s="34">
        <v>1424.29953473</v>
      </c>
      <c r="K82" s="35">
        <f t="shared" si="20"/>
        <v>452157.54230411001</v>
      </c>
      <c r="L82" s="36">
        <f t="shared" si="21"/>
        <v>1.2106465180387369E-2</v>
      </c>
      <c r="M82" s="37">
        <v>9838</v>
      </c>
      <c r="N82" s="38">
        <f t="shared" si="22"/>
        <v>1.7240007612379861E-3</v>
      </c>
      <c r="O82" s="38">
        <f t="shared" si="23"/>
        <v>21.427373478004135</v>
      </c>
      <c r="P82" s="38">
        <f t="shared" si="24"/>
        <v>7.4618801490482708E-3</v>
      </c>
      <c r="Q82" s="76">
        <v>8207.3773532199993</v>
      </c>
      <c r="R82" s="33">
        <v>673.39427277499999</v>
      </c>
      <c r="S82" s="39">
        <f t="shared" si="25"/>
        <v>7.3965342630929742E-3</v>
      </c>
      <c r="T82" s="112">
        <f t="shared" si="26"/>
        <v>130148.68106198944</v>
      </c>
      <c r="U82" s="28">
        <f t="shared" si="27"/>
        <v>123263.2257966171</v>
      </c>
      <c r="V82" s="28" t="e">
        <f>(#REF!*$C$13)+$B$34</f>
        <v>#REF!</v>
      </c>
      <c r="W82" s="28" t="e">
        <f t="shared" si="28"/>
        <v>#REF!</v>
      </c>
      <c r="X82" s="28" t="e">
        <f t="shared" si="29"/>
        <v>#REF!</v>
      </c>
      <c r="Y82" s="28" t="e">
        <f t="shared" si="30"/>
        <v>#REF!</v>
      </c>
      <c r="Z82" s="28" t="e">
        <f t="shared" si="31"/>
        <v>#REF!</v>
      </c>
      <c r="AA82" s="16" t="e">
        <f t="shared" si="19"/>
        <v>#REF!</v>
      </c>
      <c r="AE82" s="41" t="e" cm="1">
        <f t="array" ref="AE82">_xlfn.IFS($V82&gt;$W$3,($W$3+$Y$101),$V82&lt;$X$3,($V82+$X82+$Y$101), $V82&lt;$W$3,$V82+$Y$101,$V82&gt;$X$3,$V82+$Y$101)</f>
        <v>#REF!</v>
      </c>
      <c r="AF82" s="41">
        <v>223256.6627236144</v>
      </c>
      <c r="AG82" s="41">
        <v>222769.31738119965</v>
      </c>
      <c r="AH82" s="41">
        <v>224909.21182613276</v>
      </c>
      <c r="AI82" s="41">
        <v>203046.12458934006</v>
      </c>
      <c r="AJ82" s="41">
        <v>244368.75247196568</v>
      </c>
      <c r="AK82" s="41">
        <v>244393.98312945862</v>
      </c>
      <c r="AL82" s="41">
        <v>244419.21378695153</v>
      </c>
      <c r="AM82" s="41">
        <v>244431.829115698</v>
      </c>
      <c r="AN82" s="41"/>
      <c r="AO82" s="32" t="s">
        <v>168</v>
      </c>
      <c r="AP82" s="41">
        <f t="shared" si="32"/>
        <v>223256.6627236144</v>
      </c>
      <c r="AR82" s="41"/>
    </row>
    <row r="83" spans="1:44" x14ac:dyDescent="0.3">
      <c r="A83" s="65"/>
      <c r="C83" s="66"/>
      <c r="D83" s="42" t="s">
        <v>169</v>
      </c>
      <c r="E83" s="43">
        <v>626790.12006500002</v>
      </c>
      <c r="F83" s="43">
        <v>732.18145941</v>
      </c>
      <c r="G83" s="43">
        <v>15283.8969677</v>
      </c>
      <c r="H83" s="43">
        <v>610774.04163800005</v>
      </c>
      <c r="I83" s="43">
        <v>0</v>
      </c>
      <c r="J83" s="44">
        <v>1953.9073112799999</v>
      </c>
      <c r="K83" s="35">
        <f t="shared" si="20"/>
        <v>584122.53132390999</v>
      </c>
      <c r="L83" s="36">
        <f t="shared" si="21"/>
        <v>1.5639812288692118E-2</v>
      </c>
      <c r="M83" s="45">
        <v>25262</v>
      </c>
      <c r="N83" s="38">
        <f t="shared" si="22"/>
        <v>4.4268862807881684E-3</v>
      </c>
      <c r="O83" s="38">
        <f t="shared" si="23"/>
        <v>29.341968302652262</v>
      </c>
      <c r="P83" s="38">
        <f t="shared" si="24"/>
        <v>1.0218062938806739E-2</v>
      </c>
      <c r="Q83" s="76">
        <v>24697.603002700002</v>
      </c>
      <c r="R83" s="43">
        <v>1020.86828579</v>
      </c>
      <c r="S83" s="39">
        <f t="shared" si="25"/>
        <v>1.1213174152542414E-2</v>
      </c>
      <c r="T83" s="112">
        <f t="shared" si="26"/>
        <v>137696.11693966528</v>
      </c>
      <c r="U83" s="28">
        <f t="shared" si="27"/>
        <v>130746.70495004301</v>
      </c>
      <c r="V83" s="28" t="e">
        <f>(#REF!*$C$13)+$B$34</f>
        <v>#REF!</v>
      </c>
      <c r="W83" s="28" t="e">
        <f t="shared" si="28"/>
        <v>#REF!</v>
      </c>
      <c r="X83" s="28" t="e">
        <f t="shared" si="29"/>
        <v>#REF!</v>
      </c>
      <c r="Y83" s="28" t="e">
        <f t="shared" si="30"/>
        <v>#REF!</v>
      </c>
      <c r="Z83" s="28" t="e">
        <f t="shared" si="31"/>
        <v>#REF!</v>
      </c>
      <c r="AA83" s="16" t="e">
        <f t="shared" si="19"/>
        <v>#REF!</v>
      </c>
      <c r="AE83" s="41" t="e" cm="1">
        <f t="array" ref="AE83">_xlfn.IFS($V83&gt;$W$3,($W$3+$Y$101),$V83&lt;$X$3,($V83+$X83+$Y$101), $V83&lt;$W$3,$V83+$Y$101,$V83&gt;$X$3,$V83+$Y$101)</f>
        <v>#REF!</v>
      </c>
      <c r="AF83" s="41">
        <v>244663.44879833682</v>
      </c>
      <c r="AG83" s="41">
        <v>248049.17718741985</v>
      </c>
      <c r="AH83" s="41">
        <v>244518.39397565176</v>
      </c>
      <c r="AI83" s="41">
        <v>222860.82828417051</v>
      </c>
      <c r="AJ83" s="41">
        <v>267992.35716036352</v>
      </c>
      <c r="AK83" s="41">
        <v>260143.05292172384</v>
      </c>
      <c r="AL83" s="41">
        <v>252293.74868308415</v>
      </c>
      <c r="AM83" s="41">
        <v>248369.09656376429</v>
      </c>
      <c r="AN83" s="41"/>
      <c r="AO83" s="42" t="s">
        <v>169</v>
      </c>
      <c r="AP83" s="41">
        <f t="shared" si="32"/>
        <v>244663.44879833682</v>
      </c>
      <c r="AR83" s="41"/>
    </row>
    <row r="84" spans="1:44" x14ac:dyDescent="0.3">
      <c r="A84" s="65"/>
      <c r="C84" s="66"/>
      <c r="D84" s="32" t="s">
        <v>170</v>
      </c>
      <c r="E84" s="33">
        <v>375507.01282</v>
      </c>
      <c r="F84" s="33">
        <v>5049.7829912500001</v>
      </c>
      <c r="G84" s="33">
        <v>1140.79258123</v>
      </c>
      <c r="H84" s="33">
        <v>369316.43724699999</v>
      </c>
      <c r="I84" s="33">
        <v>0</v>
      </c>
      <c r="J84" s="34">
        <v>1073.24435649</v>
      </c>
      <c r="K84" s="35">
        <f t="shared" si="20"/>
        <v>358470.62326911004</v>
      </c>
      <c r="L84" s="36">
        <f t="shared" si="21"/>
        <v>9.5980089078783696E-3</v>
      </c>
      <c r="M84" s="37">
        <v>3360</v>
      </c>
      <c r="N84" s="38">
        <f t="shared" si="22"/>
        <v>5.8880286214267467E-4</v>
      </c>
      <c r="O84" s="38">
        <f t="shared" si="23"/>
        <v>14.977744774437006</v>
      </c>
      <c r="P84" s="38">
        <f t="shared" si="24"/>
        <v>5.215857954994357E-3</v>
      </c>
      <c r="Q84" s="76">
        <v>9772.5696219199999</v>
      </c>
      <c r="R84" s="33">
        <v>421.203664054</v>
      </c>
      <c r="S84" s="39">
        <f t="shared" si="25"/>
        <v>4.6264832637753547E-3</v>
      </c>
      <c r="T84" s="112">
        <f t="shared" si="26"/>
        <v>124443.30690211395</v>
      </c>
      <c r="U84" s="28">
        <f t="shared" si="27"/>
        <v>118890.84079069193</v>
      </c>
      <c r="V84" s="28" t="e">
        <f>(#REF!*$C$13)+$B$34</f>
        <v>#REF!</v>
      </c>
      <c r="W84" s="28" t="e">
        <f t="shared" si="28"/>
        <v>#REF!</v>
      </c>
      <c r="X84" s="28" t="e">
        <f t="shared" si="29"/>
        <v>#REF!</v>
      </c>
      <c r="Y84" s="28" t="e">
        <f t="shared" si="30"/>
        <v>#REF!</v>
      </c>
      <c r="Z84" s="28" t="e">
        <f t="shared" si="31"/>
        <v>#REF!</v>
      </c>
      <c r="AA84" s="16" t="e">
        <f t="shared" si="19"/>
        <v>#REF!</v>
      </c>
      <c r="AE84" s="41" t="e" cm="1">
        <f t="array" ref="AE84">_xlfn.IFS($V84&gt;$W$3,($W$3+$Y$101),$V84&lt;$X$3,($V84+$X84+$Y$101), $V84&lt;$W$3,$V84+$Y$101,$V84&gt;$X$3,$V84+$Y$101)</f>
        <v>#REF!</v>
      </c>
      <c r="AF84" s="41">
        <v>213483.8062600774</v>
      </c>
      <c r="AG84" s="41">
        <v>212996.46091766265</v>
      </c>
      <c r="AH84" s="41">
        <v>212675.58861009494</v>
      </c>
      <c r="AI84" s="41">
        <v>193177.17369835256</v>
      </c>
      <c r="AJ84" s="41">
        <v>229709.4677766602</v>
      </c>
      <c r="AK84" s="41">
        <v>234621.12666592162</v>
      </c>
      <c r="AL84" s="41">
        <v>239532.78555518304</v>
      </c>
      <c r="AM84" s="41">
        <v>241988.61499981373</v>
      </c>
      <c r="AN84" s="41"/>
      <c r="AO84" s="32" t="s">
        <v>170</v>
      </c>
      <c r="AP84" s="41">
        <f t="shared" si="32"/>
        <v>213483.8062600774</v>
      </c>
      <c r="AR84" s="41"/>
    </row>
    <row r="85" spans="1:44" x14ac:dyDescent="0.3">
      <c r="A85" s="65"/>
      <c r="C85" s="66"/>
      <c r="D85" s="42" t="s">
        <v>171</v>
      </c>
      <c r="E85" s="43">
        <v>351414.834248</v>
      </c>
      <c r="F85" s="43">
        <v>7353.1125994599997</v>
      </c>
      <c r="G85" s="43">
        <v>18954.042756399998</v>
      </c>
      <c r="H85" s="43">
        <v>325107.678892</v>
      </c>
      <c r="I85" s="43">
        <v>0.19515317093599999</v>
      </c>
      <c r="J85" s="44">
        <v>2612.73254296</v>
      </c>
      <c r="K85" s="35">
        <f t="shared" si="20"/>
        <v>305813.07928550907</v>
      </c>
      <c r="L85" s="36">
        <f t="shared" si="21"/>
        <v>8.1881093417368479E-3</v>
      </c>
      <c r="M85" s="45">
        <v>21387</v>
      </c>
      <c r="N85" s="38">
        <f t="shared" si="22"/>
        <v>3.747835360906364E-3</v>
      </c>
      <c r="O85" s="38">
        <f t="shared" si="23"/>
        <v>27.757687992440161</v>
      </c>
      <c r="P85" s="38">
        <f t="shared" si="24"/>
        <v>9.6663523052363167E-3</v>
      </c>
      <c r="Q85" s="76">
        <v>16681.671910500001</v>
      </c>
      <c r="R85" s="43">
        <v>533.65215343600005</v>
      </c>
      <c r="S85" s="39">
        <f t="shared" si="25"/>
        <v>5.8616127238456427E-3</v>
      </c>
      <c r="T85" s="112">
        <f t="shared" si="26"/>
        <v>128092.02064303447</v>
      </c>
      <c r="U85" s="28">
        <f t="shared" si="27"/>
        <v>120989.80030983852</v>
      </c>
      <c r="V85" s="28" t="e">
        <f>(#REF!*$C$13)+$B$34</f>
        <v>#REF!</v>
      </c>
      <c r="W85" s="28" t="e">
        <f t="shared" si="28"/>
        <v>#REF!</v>
      </c>
      <c r="X85" s="28" t="e">
        <f t="shared" si="29"/>
        <v>#REF!</v>
      </c>
      <c r="Y85" s="28" t="e">
        <f t="shared" si="30"/>
        <v>#REF!</v>
      </c>
      <c r="Z85" s="28" t="e">
        <f t="shared" si="31"/>
        <v>#REF!</v>
      </c>
      <c r="AA85" s="16" t="e">
        <f t="shared" si="19"/>
        <v>#REF!</v>
      </c>
      <c r="AE85" s="41" t="e" cm="1">
        <f t="array" ref="AE85">_xlfn.IFS($V85&gt;$W$3,($W$3+$Y$101),$V85&lt;$X$3,($V85+$X85+$Y$101), $V85&lt;$W$3,$V85+$Y$101,$V85&gt;$X$3,$V85+$Y$101)</f>
        <v>#REF!</v>
      </c>
      <c r="AF85" s="41">
        <v>214288.25868604815</v>
      </c>
      <c r="AG85" s="41">
        <v>211547.10488784729</v>
      </c>
      <c r="AH85" s="41">
        <v>214143.2038633631</v>
      </c>
      <c r="AI85" s="41">
        <v>204799.20499445533</v>
      </c>
      <c r="AJ85" s="41">
        <v>222429.57199193054</v>
      </c>
      <c r="AK85" s="41">
        <v>229767.86280943517</v>
      </c>
      <c r="AL85" s="41">
        <v>237106.15362693981</v>
      </c>
      <c r="AM85" s="41">
        <v>240775.29903569212</v>
      </c>
      <c r="AN85" s="41"/>
      <c r="AO85" s="42" t="s">
        <v>171</v>
      </c>
      <c r="AP85" s="41">
        <f t="shared" si="32"/>
        <v>214288.25868604815</v>
      </c>
      <c r="AR85" s="41"/>
    </row>
    <row r="86" spans="1:44" ht="15" thickBot="1" x14ac:dyDescent="0.35">
      <c r="A86" s="65"/>
      <c r="C86" s="67"/>
      <c r="D86" s="32" t="s">
        <v>172</v>
      </c>
      <c r="E86" s="33">
        <v>347639.02687100001</v>
      </c>
      <c r="F86" s="33">
        <v>87.421382530900004</v>
      </c>
      <c r="G86" s="33">
        <v>32006.9314098</v>
      </c>
      <c r="H86" s="33">
        <v>315544.67407800001</v>
      </c>
      <c r="I86" s="33">
        <v>0</v>
      </c>
      <c r="J86" s="34">
        <v>3036.34888873</v>
      </c>
      <c r="K86" s="35">
        <f t="shared" si="20"/>
        <v>309069.95856487914</v>
      </c>
      <c r="L86" s="36">
        <f t="shared" si="21"/>
        <v>8.2753119025776884E-3</v>
      </c>
      <c r="M86" s="37">
        <v>14065</v>
      </c>
      <c r="N86" s="38">
        <f t="shared" si="22"/>
        <v>2.4647357904871189E-3</v>
      </c>
      <c r="O86" s="38">
        <f t="shared" si="23"/>
        <v>24.138664885031211</v>
      </c>
      <c r="P86" s="38">
        <f t="shared" si="24"/>
        <v>8.4060617375732762E-3</v>
      </c>
      <c r="Q86" s="76">
        <v>3438.3666250599999</v>
      </c>
      <c r="R86" s="33">
        <v>382.75853349200003</v>
      </c>
      <c r="S86" s="39">
        <f t="shared" si="25"/>
        <v>4.2042035727422114E-3</v>
      </c>
      <c r="T86" s="112">
        <f t="shared" si="26"/>
        <v>126684.31503484782</v>
      </c>
      <c r="U86" s="28">
        <f t="shared" si="27"/>
        <v>119554.72389834444</v>
      </c>
      <c r="V86" s="28" t="e">
        <f>(#REF!*$C$13)+$B$34</f>
        <v>#REF!</v>
      </c>
      <c r="W86" s="28" t="e">
        <f t="shared" si="28"/>
        <v>#REF!</v>
      </c>
      <c r="X86" s="28" t="e">
        <f t="shared" si="29"/>
        <v>#REF!</v>
      </c>
      <c r="Y86" s="28" t="e">
        <f t="shared" si="30"/>
        <v>#REF!</v>
      </c>
      <c r="Z86" s="28" t="e">
        <f t="shared" si="31"/>
        <v>#REF!</v>
      </c>
      <c r="AA86" s="16" t="e">
        <f t="shared" si="19"/>
        <v>#REF!</v>
      </c>
      <c r="AE86" s="41" t="e" cm="1">
        <f t="array" ref="AE86">_xlfn.IFS($V86&gt;$W$3,($W$3+$Y$101),$V86&lt;$X$3,($V86+$X86+$Y$101), $V86&lt;$W$3,$V86+$Y$101,$V86&gt;$X$3,$V86+$Y$101)</f>
        <v>#REF!</v>
      </c>
      <c r="AF86" s="41">
        <v>207571.09835525506</v>
      </c>
      <c r="AG86" s="41">
        <v>210487.6608395114</v>
      </c>
      <c r="AH86" s="41">
        <v>209223.64745777342</v>
      </c>
      <c r="AI86" s="41">
        <v>198617.02186284596</v>
      </c>
      <c r="AJ86" s="41">
        <v>220840.40591942667</v>
      </c>
      <c r="AK86" s="41">
        <v>228708.41876109928</v>
      </c>
      <c r="AL86" s="41">
        <v>236576.43160277186</v>
      </c>
      <c r="AM86" s="41">
        <v>240510.43802360815</v>
      </c>
      <c r="AN86" s="41"/>
      <c r="AO86" s="32" t="s">
        <v>172</v>
      </c>
      <c r="AP86" s="41">
        <f t="shared" si="32"/>
        <v>207571.09835525506</v>
      </c>
      <c r="AR86" s="41"/>
    </row>
    <row r="87" spans="1:44" ht="15" thickBot="1" x14ac:dyDescent="0.35">
      <c r="A87" s="68"/>
      <c r="B87" s="69"/>
      <c r="D87" s="42" t="s">
        <v>173</v>
      </c>
      <c r="E87" s="43">
        <v>276914.92849600001</v>
      </c>
      <c r="F87" s="43">
        <v>392.23685656999999</v>
      </c>
      <c r="G87" s="43">
        <v>4592.8622704999998</v>
      </c>
      <c r="H87" s="43">
        <v>271929.82936799998</v>
      </c>
      <c r="I87" s="43">
        <v>0</v>
      </c>
      <c r="J87" s="44">
        <v>2262.0162552400002</v>
      </c>
      <c r="K87" s="35">
        <f t="shared" si="20"/>
        <v>260522.29098290001</v>
      </c>
      <c r="L87" s="36">
        <f t="shared" si="21"/>
        <v>6.9754537952126426E-3</v>
      </c>
      <c r="M87" s="45">
        <v>18968</v>
      </c>
      <c r="N87" s="38">
        <f t="shared" si="22"/>
        <v>3.3239323479530513E-3</v>
      </c>
      <c r="O87" s="38">
        <f t="shared" si="23"/>
        <v>26.669027568751908</v>
      </c>
      <c r="P87" s="38">
        <f t="shared" si="24"/>
        <v>9.2872366094692727E-3</v>
      </c>
      <c r="Q87" s="76">
        <v>9145.5221307899992</v>
      </c>
      <c r="R87" s="43">
        <v>398.70209561899998</v>
      </c>
      <c r="S87" s="39">
        <f t="shared" si="25"/>
        <v>4.3793269860467809E-3</v>
      </c>
      <c r="T87" s="112">
        <f t="shared" si="26"/>
        <v>126181.89515228497</v>
      </c>
      <c r="U87" s="28">
        <f t="shared" si="27"/>
        <v>119025.93003846551</v>
      </c>
      <c r="V87" s="28" t="e">
        <f>(#REF!*$C$13)+$B$34</f>
        <v>#REF!</v>
      </c>
      <c r="W87" s="28" t="e">
        <f t="shared" si="28"/>
        <v>#REF!</v>
      </c>
      <c r="X87" s="28" t="e">
        <f t="shared" si="29"/>
        <v>#REF!</v>
      </c>
      <c r="Y87" s="28" t="e">
        <f t="shared" si="30"/>
        <v>#REF!</v>
      </c>
      <c r="Z87" s="28" t="e">
        <f t="shared" si="31"/>
        <v>#REF!</v>
      </c>
      <c r="AA87" s="16" t="e">
        <f t="shared" si="19"/>
        <v>#REF!</v>
      </c>
      <c r="AE87" s="41" t="e" cm="1">
        <f t="array" ref="AE87">_xlfn.IFS($V87&gt;$W$3,($W$3+$Y$101),$V87&lt;$X$3,($V87+$X87+$Y$101), $V87&lt;$W$3,$V87+$Y$101,$V87&gt;$X$3,$V87+$Y$101)</f>
        <v>#REF!</v>
      </c>
      <c r="AF87" s="41">
        <v>208684.02167689722</v>
      </c>
      <c r="AG87" s="41">
        <v>205942.86787869636</v>
      </c>
      <c r="AH87" s="41">
        <v>208538.96685421217</v>
      </c>
      <c r="AI87" s="41">
        <v>200062.82231658875</v>
      </c>
      <c r="AJ87" s="41">
        <v>214023.21647820412</v>
      </c>
      <c r="AK87" s="41">
        <v>224163.62580028424</v>
      </c>
      <c r="AL87" s="41">
        <v>234304.03512236435</v>
      </c>
      <c r="AM87" s="41">
        <v>239374.23978340439</v>
      </c>
      <c r="AN87" s="41"/>
      <c r="AO87" s="42" t="s">
        <v>173</v>
      </c>
      <c r="AP87" s="41">
        <f t="shared" si="32"/>
        <v>208684.02167689722</v>
      </c>
      <c r="AR87" s="41"/>
    </row>
    <row r="88" spans="1:44" x14ac:dyDescent="0.3">
      <c r="D88" s="32" t="s">
        <v>174</v>
      </c>
      <c r="E88" s="33">
        <v>270735.71262100001</v>
      </c>
      <c r="F88" s="33">
        <v>896.025368254</v>
      </c>
      <c r="G88" s="33">
        <v>9169.0735209800005</v>
      </c>
      <c r="H88" s="33">
        <v>260670.61373099999</v>
      </c>
      <c r="I88" s="33">
        <v>112.68969658499999</v>
      </c>
      <c r="J88" s="34">
        <v>18790.384651</v>
      </c>
      <c r="K88" s="35">
        <f t="shared" si="20"/>
        <v>221042.56590058102</v>
      </c>
      <c r="L88" s="36">
        <f t="shared" si="21"/>
        <v>5.9183887850731082E-3</v>
      </c>
      <c r="M88" s="37">
        <v>267568</v>
      </c>
      <c r="N88" s="38">
        <f t="shared" si="22"/>
        <v>4.6888334588628323E-2</v>
      </c>
      <c r="O88" s="38">
        <f t="shared" si="23"/>
        <v>64.43839640251278</v>
      </c>
      <c r="P88" s="38">
        <f t="shared" si="24"/>
        <v>2.2440062075083641E-2</v>
      </c>
      <c r="Q88" s="76">
        <v>20724.973483599999</v>
      </c>
      <c r="R88" s="33">
        <v>869.02903934599999</v>
      </c>
      <c r="S88" s="39">
        <f t="shared" si="25"/>
        <v>9.545378279885032E-3</v>
      </c>
      <c r="T88" s="112">
        <f t="shared" si="26"/>
        <v>140696.80769885477</v>
      </c>
      <c r="U88" s="28">
        <f t="shared" si="27"/>
        <v>170034.73471510838</v>
      </c>
      <c r="V88" s="28" t="e">
        <f>(#REF!*$C$13)+$B$34</f>
        <v>#REF!</v>
      </c>
      <c r="W88" s="28" t="e">
        <f t="shared" si="28"/>
        <v>#REF!</v>
      </c>
      <c r="X88" s="28" t="e">
        <f t="shared" si="29"/>
        <v>#REF!</v>
      </c>
      <c r="Y88" s="28" t="e">
        <f t="shared" si="30"/>
        <v>#REF!</v>
      </c>
      <c r="Z88" s="28" t="e">
        <f t="shared" si="31"/>
        <v>#REF!</v>
      </c>
      <c r="AA88" s="16" t="e">
        <f t="shared" si="19"/>
        <v>#REF!</v>
      </c>
      <c r="AE88" s="41" t="e" cm="1">
        <f t="array" ref="AE88">_xlfn.IFS($V88&gt;$W$3,($W$3+$Y$101),$V88&lt;$X$3,($V88+$X88+$Y$101), $V88&lt;$W$3,$V88+$Y$101,$V88&gt;$X$3,$V88+$Y$101)</f>
        <v>#REF!</v>
      </c>
      <c r="AF88" s="41">
        <v>259826.06978021481</v>
      </c>
      <c r="AG88" s="41">
        <v>273830.41710487817</v>
      </c>
      <c r="AH88" s="41">
        <v>289696.31753502623</v>
      </c>
      <c r="AI88" s="41">
        <v>394828.31120535638</v>
      </c>
      <c r="AJ88" s="41">
        <v>212591.4956542532</v>
      </c>
      <c r="AK88" s="41">
        <v>223209.14525098362</v>
      </c>
      <c r="AL88" s="41">
        <v>233826.79484771405</v>
      </c>
      <c r="AM88" s="41">
        <v>239135.61964607923</v>
      </c>
      <c r="AN88" s="41"/>
      <c r="AO88" s="32" t="s">
        <v>174</v>
      </c>
      <c r="AP88" s="41">
        <f t="shared" si="32"/>
        <v>259826.06978021481</v>
      </c>
      <c r="AR88" s="41"/>
    </row>
    <row r="89" spans="1:44" x14ac:dyDescent="0.3">
      <c r="D89" s="42" t="s">
        <v>175</v>
      </c>
      <c r="E89" s="43">
        <v>281331.853145</v>
      </c>
      <c r="F89" s="43">
        <v>65.852578719999997</v>
      </c>
      <c r="G89" s="43">
        <v>2006.0333787100001</v>
      </c>
      <c r="H89" s="43">
        <v>279259.96718699997</v>
      </c>
      <c r="I89" s="43">
        <v>0</v>
      </c>
      <c r="J89" s="44">
        <v>1553.9123360999999</v>
      </c>
      <c r="K89" s="35">
        <f t="shared" si="20"/>
        <v>274747.30040577997</v>
      </c>
      <c r="L89" s="36">
        <f t="shared" si="21"/>
        <v>7.3563267546488719E-3</v>
      </c>
      <c r="M89" s="45">
        <v>11253</v>
      </c>
      <c r="N89" s="38">
        <f t="shared" si="22"/>
        <v>1.9719638713367612E-3</v>
      </c>
      <c r="O89" s="38">
        <f t="shared" si="23"/>
        <v>22.409015291211816</v>
      </c>
      <c r="P89" s="38">
        <f t="shared" si="24"/>
        <v>7.8037276259202903E-3</v>
      </c>
      <c r="Q89" s="76">
        <v>2958.75444569</v>
      </c>
      <c r="R89" s="43">
        <v>427.16081938899998</v>
      </c>
      <c r="S89" s="39">
        <f t="shared" si="25"/>
        <v>4.6919164064783926E-3</v>
      </c>
      <c r="T89" s="112">
        <f t="shared" si="26"/>
        <v>124858.73192334967</v>
      </c>
      <c r="U89" s="28">
        <f t="shared" si="27"/>
        <v>117860.61541784943</v>
      </c>
      <c r="V89" s="28" t="e">
        <f>(#REF!*$C$13)+$B$34</f>
        <v>#REF!</v>
      </c>
      <c r="W89" s="28" t="e">
        <f t="shared" si="28"/>
        <v>#REF!</v>
      </c>
      <c r="X89" s="28" t="e">
        <f t="shared" si="29"/>
        <v>#REF!</v>
      </c>
      <c r="Y89" s="28" t="e">
        <f t="shared" si="30"/>
        <v>#REF!</v>
      </c>
      <c r="Z89" s="28" t="e">
        <f t="shared" si="31"/>
        <v>#REF!</v>
      </c>
      <c r="AA89" s="16" t="e">
        <f t="shared" si="19"/>
        <v>#REF!</v>
      </c>
      <c r="AE89" s="41" t="e" cm="1">
        <f t="array" ref="AE89">_xlfn.IFS($V89&gt;$W$3,($W$3+$Y$101),$V89&lt;$X$3,($V89+$X89+$Y$101), $V89&lt;$W$3,$V89+$Y$101,$V89&gt;$X$3,$V89+$Y$101)</f>
        <v>#REF!</v>
      </c>
      <c r="AF89" s="41">
        <v>203879.05300871155</v>
      </c>
      <c r="AG89" s="41">
        <v>203391.7076662968</v>
      </c>
      <c r="AH89" s="41">
        <v>205531.60211122991</v>
      </c>
      <c r="AI89" s="41">
        <v>194425.82915563576</v>
      </c>
      <c r="AJ89" s="41">
        <v>215302.33789961142</v>
      </c>
      <c r="AK89" s="41">
        <v>225016.37341455577</v>
      </c>
      <c r="AL89" s="41">
        <v>234730.40892950012</v>
      </c>
      <c r="AM89" s="41">
        <v>239587.42668697226</v>
      </c>
      <c r="AN89" s="41"/>
      <c r="AO89" s="42" t="s">
        <v>175</v>
      </c>
      <c r="AP89" s="41">
        <f t="shared" si="32"/>
        <v>203879.05300871155</v>
      </c>
      <c r="AR89" s="41"/>
    </row>
    <row r="90" spans="1:44" x14ac:dyDescent="0.3">
      <c r="D90" s="32" t="s">
        <v>176</v>
      </c>
      <c r="E90" s="33">
        <v>481207.16330499999</v>
      </c>
      <c r="F90" s="33">
        <v>2534.75751412</v>
      </c>
      <c r="G90" s="33">
        <v>7864.1438537200002</v>
      </c>
      <c r="H90" s="33">
        <v>470808.26193699997</v>
      </c>
      <c r="I90" s="33">
        <v>0</v>
      </c>
      <c r="J90" s="34">
        <v>780.63565434500003</v>
      </c>
      <c r="K90" s="35">
        <f t="shared" si="20"/>
        <v>469308.702869392</v>
      </c>
      <c r="L90" s="36">
        <f t="shared" si="21"/>
        <v>1.2565685493574504E-2</v>
      </c>
      <c r="M90" s="37">
        <v>6506</v>
      </c>
      <c r="N90" s="38">
        <f t="shared" si="22"/>
        <v>1.140104589613167E-3</v>
      </c>
      <c r="O90" s="38">
        <f t="shared" si="23"/>
        <v>18.668296342979222</v>
      </c>
      <c r="P90" s="38">
        <f t="shared" si="24"/>
        <v>6.5010576327156231E-3</v>
      </c>
      <c r="Q90" s="76">
        <v>718.92341342300006</v>
      </c>
      <c r="R90" s="33">
        <v>256.77694216399999</v>
      </c>
      <c r="S90" s="39">
        <f t="shared" si="25"/>
        <v>2.8204270922316936E-3</v>
      </c>
      <c r="T90" s="112">
        <f t="shared" si="26"/>
        <v>129546.75841821483</v>
      </c>
      <c r="U90" s="28">
        <f t="shared" si="27"/>
        <v>123113.61476649187</v>
      </c>
      <c r="V90" s="28" t="e">
        <f>(#REF!*$C$13)+$B$34</f>
        <v>#REF!</v>
      </c>
      <c r="W90" s="28" t="e">
        <f t="shared" si="28"/>
        <v>#REF!</v>
      </c>
      <c r="X90" s="28" t="e">
        <f t="shared" si="29"/>
        <v>#REF!</v>
      </c>
      <c r="Y90" s="28" t="e">
        <f t="shared" si="30"/>
        <v>#REF!</v>
      </c>
      <c r="Z90" s="28" t="e">
        <f t="shared" si="31"/>
        <v>#REF!</v>
      </c>
      <c r="AA90" s="16" t="e">
        <f t="shared" si="19"/>
        <v>#REF!</v>
      </c>
      <c r="AE90" s="41" t="e" cm="1">
        <f t="array" ref="AE90">_xlfn.IFS($V90&gt;$W$3,($W$3+$Y$101),$V90&lt;$X$3,($V90+$X90+$Y$101), $V90&lt;$W$3,$V90+$Y$101,$V90&gt;$X$3,$V90+$Y$101)</f>
        <v>#REF!</v>
      </c>
      <c r="AF90" s="41">
        <v>224281.74386586974</v>
      </c>
      <c r="AG90" s="41">
        <v>223794.39852345499</v>
      </c>
      <c r="AH90" s="41">
        <v>223473.52621588728</v>
      </c>
      <c r="AI90" s="41">
        <v>200972.96486663815</v>
      </c>
      <c r="AJ90" s="41">
        <v>245906.37418534869</v>
      </c>
      <c r="AK90" s="41">
        <v>245419.06427171396</v>
      </c>
      <c r="AL90" s="41">
        <v>244931.7543580792</v>
      </c>
      <c r="AM90" s="41">
        <v>244688.09940126183</v>
      </c>
      <c r="AN90" s="41"/>
      <c r="AO90" s="32" t="s">
        <v>176</v>
      </c>
      <c r="AP90" s="41">
        <f t="shared" si="32"/>
        <v>224281.74386586974</v>
      </c>
      <c r="AR90" s="41"/>
    </row>
    <row r="91" spans="1:44" x14ac:dyDescent="0.3">
      <c r="D91" s="42" t="s">
        <v>177</v>
      </c>
      <c r="E91" s="43">
        <v>410309.38581000001</v>
      </c>
      <c r="F91" s="43">
        <v>5195.1322027699998</v>
      </c>
      <c r="G91" s="43">
        <v>35535.829421000002</v>
      </c>
      <c r="H91" s="43">
        <v>369578.42418600002</v>
      </c>
      <c r="I91" s="43">
        <v>0</v>
      </c>
      <c r="J91" s="44">
        <v>5252.2724292700004</v>
      </c>
      <c r="K91" s="35">
        <f t="shared" si="20"/>
        <v>352947.83772766008</v>
      </c>
      <c r="L91" s="36">
        <f t="shared" si="21"/>
        <v>9.4501369725445098E-3</v>
      </c>
      <c r="M91" s="45">
        <v>49671</v>
      </c>
      <c r="N91" s="38">
        <f t="shared" si="22"/>
        <v>8.7042937397288078E-3</v>
      </c>
      <c r="O91" s="38">
        <f t="shared" si="23"/>
        <v>36.759334016698077</v>
      </c>
      <c r="P91" s="38">
        <f t="shared" si="24"/>
        <v>1.2801090393696889E-2</v>
      </c>
      <c r="Q91" s="76">
        <v>11378.3140293</v>
      </c>
      <c r="R91" s="43">
        <v>707.77312268900005</v>
      </c>
      <c r="S91" s="39">
        <f t="shared" si="25"/>
        <v>7.7741500991569618E-3</v>
      </c>
      <c r="T91" s="112">
        <f t="shared" si="26"/>
        <v>133368.13950615635</v>
      </c>
      <c r="U91" s="28">
        <f t="shared" si="27"/>
        <v>128451.98352139465</v>
      </c>
      <c r="V91" s="28" t="e">
        <f>(#REF!*$C$13)+$B$34</f>
        <v>#REF!</v>
      </c>
      <c r="W91" s="28" t="e">
        <f t="shared" si="28"/>
        <v>#REF!</v>
      </c>
      <c r="X91" s="28" t="e">
        <f t="shared" si="29"/>
        <v>#REF!</v>
      </c>
      <c r="Y91" s="28" t="e">
        <f t="shared" si="30"/>
        <v>#REF!</v>
      </c>
      <c r="Z91" s="28" t="e">
        <f t="shared" si="31"/>
        <v>#REF!</v>
      </c>
      <c r="AA91" s="16" t="e">
        <f t="shared" si="19"/>
        <v>#REF!</v>
      </c>
      <c r="AE91" s="41" t="e" cm="1">
        <f t="array" ref="AE91">_xlfn.IFS($V91&gt;$W$3,($W$3+$Y$101),$V91&lt;$X$3,($V91+$X91+$Y$101), $V91&lt;$W$3,$V91+$Y$101,$V91&gt;$X$3,$V91+$Y$101)</f>
        <v>#REF!</v>
      </c>
      <c r="AF91" s="41">
        <v>270822.5066530694</v>
      </c>
      <c r="AG91" s="41">
        <v>284826.85397773277</v>
      </c>
      <c r="AH91" s="41">
        <v>224773.37814502011</v>
      </c>
      <c r="AI91" s="41">
        <v>228697.39618498468</v>
      </c>
      <c r="AJ91" s="41">
        <v>229086.15096353507</v>
      </c>
      <c r="AK91" s="41">
        <v>234205.58212383819</v>
      </c>
      <c r="AL91" s="41">
        <v>239325.01328414131</v>
      </c>
      <c r="AM91" s="41">
        <v>241884.72886429288</v>
      </c>
      <c r="AN91" s="41"/>
      <c r="AO91" s="42" t="s">
        <v>177</v>
      </c>
      <c r="AP91" s="41">
        <f t="shared" si="32"/>
        <v>270822.5066530694</v>
      </c>
      <c r="AR91" s="41"/>
    </row>
    <row r="92" spans="1:44" x14ac:dyDescent="0.3">
      <c r="D92" s="32" t="s">
        <v>178</v>
      </c>
      <c r="E92" s="33">
        <v>457019.84088899998</v>
      </c>
      <c r="F92" s="33">
        <v>3284.5221374900002</v>
      </c>
      <c r="G92" s="33">
        <v>10756.9899418</v>
      </c>
      <c r="H92" s="33">
        <v>442978.32880999998</v>
      </c>
      <c r="I92" s="33">
        <v>0</v>
      </c>
      <c r="J92" s="34">
        <v>10012.8832755</v>
      </c>
      <c r="K92" s="35">
        <f t="shared" si="20"/>
        <v>392159.95542941004</v>
      </c>
      <c r="L92" s="36">
        <f t="shared" si="21"/>
        <v>1.0500036826445878E-2</v>
      </c>
      <c r="M92" s="37">
        <v>141337</v>
      </c>
      <c r="N92" s="38">
        <f t="shared" si="22"/>
        <v>2.4767747061505717E-2</v>
      </c>
      <c r="O92" s="38">
        <f t="shared" si="23"/>
        <v>52.089712000992222</v>
      </c>
      <c r="P92" s="38">
        <f t="shared" si="24"/>
        <v>1.8139749528743913E-2</v>
      </c>
      <c r="Q92" s="76">
        <v>40805.490104800003</v>
      </c>
      <c r="R92" s="33">
        <v>1228.9039012200001</v>
      </c>
      <c r="S92" s="39">
        <f t="shared" si="25"/>
        <v>1.3498228569668065E-2</v>
      </c>
      <c r="T92" s="112">
        <f t="shared" si="26"/>
        <v>141034.4102928944</v>
      </c>
      <c r="U92" s="28">
        <f t="shared" si="27"/>
        <v>148988.00733220857</v>
      </c>
      <c r="V92" s="28" t="e">
        <f>(#REF!*$C$13)+$B$34</f>
        <v>#REF!</v>
      </c>
      <c r="W92" s="28" t="e">
        <f t="shared" si="28"/>
        <v>#REF!</v>
      </c>
      <c r="X92" s="28" t="e">
        <f t="shared" si="29"/>
        <v>#REF!</v>
      </c>
      <c r="Y92" s="28" t="e">
        <f t="shared" si="30"/>
        <v>#REF!</v>
      </c>
      <c r="Z92" s="28" t="e">
        <f t="shared" si="31"/>
        <v>#REF!</v>
      </c>
      <c r="AA92" s="16" t="e">
        <f t="shared" si="19"/>
        <v>#REF!</v>
      </c>
      <c r="AE92" s="41" t="e" cm="1">
        <f t="array" ref="AE92">_xlfn.IFS($V92&gt;$W$3,($W$3+$Y$101),$V92&lt;$X$3,($V92+$X92+$Y$101), $V92&lt;$W$3,$V92+$Y$101,$V92&gt;$X$3,$V92+$Y$101)</f>
        <v>#REF!</v>
      </c>
      <c r="AF92" s="41">
        <v>278104.1978391817</v>
      </c>
      <c r="AG92" s="41">
        <v>292108.54516384506</v>
      </c>
      <c r="AH92" s="41">
        <v>307974.44559399318</v>
      </c>
      <c r="AI92" s="41">
        <v>305742.37221244257</v>
      </c>
      <c r="AJ92" s="41">
        <v>240008.68774270351</v>
      </c>
      <c r="AK92" s="41">
        <v>241487.27330995048</v>
      </c>
      <c r="AL92" s="41">
        <v>242965.85887719746</v>
      </c>
      <c r="AM92" s="41">
        <v>243705.15166082096</v>
      </c>
      <c r="AN92" s="41"/>
      <c r="AO92" s="32" t="s">
        <v>178</v>
      </c>
      <c r="AP92" s="41">
        <f t="shared" si="32"/>
        <v>278104.1978391817</v>
      </c>
      <c r="AR92" s="41"/>
    </row>
    <row r="93" spans="1:44" ht="15" thickBot="1" x14ac:dyDescent="0.35">
      <c r="D93" s="42" t="s">
        <v>179</v>
      </c>
      <c r="E93" s="43">
        <v>488761.07131600002</v>
      </c>
      <c r="F93" s="43">
        <v>1096.9403973799999</v>
      </c>
      <c r="G93" s="43">
        <v>8929.87307822</v>
      </c>
      <c r="H93" s="43">
        <v>478734.25783999998</v>
      </c>
      <c r="I93" s="43">
        <v>1506.6444066500001</v>
      </c>
      <c r="J93" s="44">
        <v>1652.8139741</v>
      </c>
      <c r="K93" s="35">
        <f t="shared" si="20"/>
        <v>471803.65364958008</v>
      </c>
      <c r="L93" s="36">
        <f t="shared" si="21"/>
        <v>1.263248750818474E-2</v>
      </c>
      <c r="M93" s="70">
        <v>9528</v>
      </c>
      <c r="N93" s="38">
        <f t="shared" si="22"/>
        <v>1.6696766876474417E-3</v>
      </c>
      <c r="O93" s="38">
        <f t="shared" si="23"/>
        <v>21.199905066621284</v>
      </c>
      <c r="P93" s="38">
        <f t="shared" si="24"/>
        <v>7.3826664262289241E-3</v>
      </c>
      <c r="Q93" s="76">
        <v>3771.1458100700002</v>
      </c>
      <c r="R93" s="43">
        <v>835.25147671800005</v>
      </c>
      <c r="S93" s="39">
        <f t="shared" si="25"/>
        <v>9.1743669579855847E-3</v>
      </c>
      <c r="T93" s="112">
        <f t="shared" si="26"/>
        <v>130684.85138796308</v>
      </c>
      <c r="U93" s="28">
        <f t="shared" si="27"/>
        <v>123829.26370166529</v>
      </c>
      <c r="V93" s="28" t="e">
        <f>(#REF!*$C$13)+$B$34</f>
        <v>#REF!</v>
      </c>
      <c r="W93" s="28" t="e">
        <f t="shared" si="28"/>
        <v>#REF!</v>
      </c>
      <c r="X93" s="28" t="e">
        <f t="shared" si="29"/>
        <v>#REF!</v>
      </c>
      <c r="Y93" s="28" t="e">
        <f t="shared" si="30"/>
        <v>#REF!</v>
      </c>
      <c r="Z93" s="28" t="e">
        <f t="shared" si="31"/>
        <v>#REF!</v>
      </c>
      <c r="AA93" s="16" t="e">
        <f t="shared" si="19"/>
        <v>#REF!</v>
      </c>
      <c r="AE93" s="41" t="e" cm="1">
        <f t="array" ref="AE93">_xlfn.IFS($V93&gt;$W$3,($W$3+$Y$101),$V93&lt;$X$3,($V93+$X93+$Y$101), $V93&lt;$W$3,$V93+$Y$101,$V93&gt;$X$3,$V93+$Y$101)</f>
        <v>#REF!</v>
      </c>
      <c r="AF93" s="41">
        <v>225030.05752848976</v>
      </c>
      <c r="AG93" s="41">
        <v>224542.71218607502</v>
      </c>
      <c r="AH93" s="41">
        <v>224221.83987850731</v>
      </c>
      <c r="AI93" s="41">
        <v>203672.24754356238</v>
      </c>
      <c r="AJ93" s="41">
        <v>247028.84467927873</v>
      </c>
      <c r="AK93" s="41">
        <v>246167.37793433398</v>
      </c>
      <c r="AL93" s="41">
        <v>245305.91118938921</v>
      </c>
      <c r="AM93" s="41">
        <v>244875.17781691684</v>
      </c>
      <c r="AN93" s="41"/>
      <c r="AO93" s="42" t="s">
        <v>179</v>
      </c>
      <c r="AP93" s="41">
        <f t="shared" si="32"/>
        <v>225030.05752848976</v>
      </c>
      <c r="AR93" s="41"/>
    </row>
    <row r="94" spans="1:44" ht="15.6" thickTop="1" thickBot="1" x14ac:dyDescent="0.35">
      <c r="D94" s="71"/>
      <c r="E94" s="72">
        <f>SUM(E4:E93)</f>
        <v>53993504.441008039</v>
      </c>
      <c r="F94" s="72">
        <f t="shared" ref="F94:AA94" si="33">SUM(F4:F93)</f>
        <v>3582911.1549755386</v>
      </c>
      <c r="G94" s="72">
        <f t="shared" si="33"/>
        <v>8483445.9791199714</v>
      </c>
      <c r="H94" s="72">
        <f t="shared" si="33"/>
        <v>41927147.306895003</v>
      </c>
      <c r="I94" s="72">
        <f t="shared" si="33"/>
        <v>892913.38066131831</v>
      </c>
      <c r="J94" s="72">
        <f>SUM(J4:J93)</f>
        <v>600778.22290646413</v>
      </c>
      <c r="K94" s="72">
        <f>SUM(K4:K93)</f>
        <v>37348436.192309141</v>
      </c>
      <c r="L94" s="72">
        <f>SUM(L4:L93)</f>
        <v>1</v>
      </c>
      <c r="M94" s="72">
        <f t="shared" si="33"/>
        <v>5706494</v>
      </c>
      <c r="N94" s="72">
        <f t="shared" si="33"/>
        <v>1</v>
      </c>
      <c r="O94" s="72">
        <f>SUM(O4:O93)</f>
        <v>2871.5783488879943</v>
      </c>
      <c r="P94" s="72">
        <f>SUM(P4:P93)</f>
        <v>1</v>
      </c>
      <c r="Q94" s="72"/>
      <c r="R94" s="72">
        <f t="shared" si="33"/>
        <v>91041.864854879997</v>
      </c>
      <c r="S94" s="72">
        <f>SUM(S4:S93)</f>
        <v>1.0000000000000002</v>
      </c>
      <c r="T94" s="113">
        <f>SUM(T4:T93)</f>
        <v>12000000.000000004</v>
      </c>
      <c r="U94" s="28">
        <f t="shared" si="33"/>
        <v>12000000.000000004</v>
      </c>
      <c r="V94" s="28" t="e">
        <f t="shared" si="33"/>
        <v>#REF!</v>
      </c>
      <c r="W94" s="16" t="e">
        <f t="shared" si="33"/>
        <v>#REF!</v>
      </c>
      <c r="X94" s="28" t="e">
        <f t="shared" si="33"/>
        <v>#REF!</v>
      </c>
      <c r="Y94" s="28" t="e">
        <f t="shared" si="33"/>
        <v>#REF!</v>
      </c>
      <c r="Z94" s="28" t="e">
        <f t="shared" si="33"/>
        <v>#REF!</v>
      </c>
      <c r="AA94" s="16" t="e">
        <f t="shared" si="33"/>
        <v>#REF!</v>
      </c>
      <c r="AE94" s="21" t="e">
        <f t="shared" ref="AE94:AM94" si="34">SUM(AE4:AE93)</f>
        <v>#REF!</v>
      </c>
      <c r="AF94" s="41">
        <f t="shared" si="34"/>
        <v>22000000</v>
      </c>
      <c r="AG94" s="21">
        <f t="shared" si="34"/>
        <v>22000000.000000004</v>
      </c>
      <c r="AH94" s="21">
        <f t="shared" si="34"/>
        <v>22000000.000000007</v>
      </c>
      <c r="AI94" s="21">
        <f t="shared" si="34"/>
        <v>22000000.000000004</v>
      </c>
      <c r="AJ94" s="21">
        <f t="shared" si="34"/>
        <v>21999999.999999993</v>
      </c>
      <c r="AK94" s="41">
        <f t="shared" si="34"/>
        <v>22000000.000000007</v>
      </c>
      <c r="AL94" s="41">
        <f t="shared" si="34"/>
        <v>22000000.000000011</v>
      </c>
      <c r="AM94" s="41">
        <f t="shared" si="34"/>
        <v>21999999.999999989</v>
      </c>
      <c r="AN94" s="41"/>
      <c r="AP94" s="21">
        <f>SUM(AP4:AP93)</f>
        <v>22000000</v>
      </c>
      <c r="AR94" s="21"/>
    </row>
    <row r="95" spans="1:44" x14ac:dyDescent="0.3">
      <c r="D95" s="73" t="s">
        <v>180</v>
      </c>
    </row>
    <row r="96" spans="1:44" x14ac:dyDescent="0.3">
      <c r="D96" s="73">
        <f>COUNTA(D4:D93)</f>
        <v>90</v>
      </c>
      <c r="AR96" s="41"/>
    </row>
    <row r="97" spans="23:31" x14ac:dyDescent="0.3">
      <c r="W97" t="s">
        <v>181</v>
      </c>
      <c r="Y97" s="41" t="e">
        <f>V94-Y94</f>
        <v>#REF!</v>
      </c>
    </row>
    <row r="98" spans="23:31" x14ac:dyDescent="0.3">
      <c r="AE98" s="21" t="e">
        <f>22000000-AE94</f>
        <v>#REF!</v>
      </c>
    </row>
    <row r="99" spans="23:31" x14ac:dyDescent="0.3">
      <c r="W99" t="s">
        <v>182</v>
      </c>
      <c r="Y99" s="41" t="e">
        <f>Y97-Y103</f>
        <v>#REF!</v>
      </c>
    </row>
    <row r="100" spans="23:31" x14ac:dyDescent="0.3">
      <c r="AE100" s="21" t="e">
        <f>Y101+Y103</f>
        <v>#REF!</v>
      </c>
    </row>
    <row r="101" spans="23:31" x14ac:dyDescent="0.3">
      <c r="W101" t="s">
        <v>183</v>
      </c>
      <c r="Y101" s="41" t="e">
        <f>Y99/$D$96</f>
        <v>#REF!</v>
      </c>
    </row>
    <row r="103" spans="23:31" x14ac:dyDescent="0.3">
      <c r="W103" t="s">
        <v>184</v>
      </c>
      <c r="Y103" s="41" t="e">
        <f>SUM(X4:X93)</f>
        <v>#REF!</v>
      </c>
    </row>
    <row r="106" spans="23:31" x14ac:dyDescent="0.3">
      <c r="Y106" s="41" t="e">
        <f>(Y97+Y103)-Y97</f>
        <v>#REF!</v>
      </c>
    </row>
  </sheetData>
  <conditionalFormatting sqref="A14">
    <cfRule type="cellIs" dxfId="20" priority="25" operator="lessThan">
      <formula>1</formula>
    </cfRule>
    <cfRule type="cellIs" dxfId="19" priority="26" operator="greaterThan">
      <formula>1</formula>
    </cfRule>
  </conditionalFormatting>
  <conditionalFormatting sqref="B45">
    <cfRule type="cellIs" dxfId="18" priority="23" operator="lessThan">
      <formula>1</formula>
    </cfRule>
    <cfRule type="cellIs" dxfId="17" priority="24" operator="greaterThan">
      <formula>1</formula>
    </cfRule>
  </conditionalFormatting>
  <conditionalFormatting sqref="U4:U93">
    <cfRule type="expression" dxfId="16" priority="15">
      <formula>$U$3="Inactive Column"</formula>
    </cfRule>
  </conditionalFormatting>
  <conditionalFormatting sqref="V4:V93">
    <cfRule type="expression" dxfId="15" priority="17">
      <formula>$V$3="Inactive Column"</formula>
    </cfRule>
  </conditionalFormatting>
  <conditionalFormatting sqref="Z4:Z93">
    <cfRule type="top10" dxfId="14" priority="3" bottom="1" rank="1"/>
    <cfRule type="top10" dxfId="13" priority="4" rank="1"/>
  </conditionalFormatting>
  <conditionalFormatting sqref="AA4:AA93">
    <cfRule type="expression" dxfId="12" priority="18">
      <formula>$V$2="Active Column"</formula>
    </cfRule>
  </conditionalFormatting>
  <conditionalFormatting sqref="AI4:AI93">
    <cfRule type="top10" dxfId="11" priority="5" bottom="1" rank="1"/>
    <cfRule type="top10" dxfId="10" priority="6" rank="1"/>
  </conditionalFormatting>
  <conditionalFormatting sqref="AJ4:AJ93">
    <cfRule type="top10" dxfId="9" priority="13" bottom="1" rank="1"/>
    <cfRule type="top10" dxfId="8" priority="14" rank="1"/>
  </conditionalFormatting>
  <conditionalFormatting sqref="AK4:AK93">
    <cfRule type="top10" dxfId="7" priority="11" bottom="1" rank="1"/>
    <cfRule type="top10" dxfId="6" priority="12" rank="1"/>
  </conditionalFormatting>
  <conditionalFormatting sqref="AL4:AL93">
    <cfRule type="top10" dxfId="5" priority="9" bottom="1" rank="1"/>
    <cfRule type="top10" dxfId="4" priority="10" rank="1"/>
  </conditionalFormatting>
  <conditionalFormatting sqref="AM4:AN93">
    <cfRule type="top10" dxfId="3" priority="7" bottom="1" rank="1"/>
    <cfRule type="top10" dxfId="2" priority="8" rank="1"/>
  </conditionalFormatting>
  <conditionalFormatting sqref="AP4:AP93">
    <cfRule type="top10" dxfId="1" priority="1" bottom="1" rank="1"/>
    <cfRule type="top10" dxfId="0" priority="2" rank="1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A4B03-18A1-456E-8C33-9DE0950749E9}">
  <dimension ref="A1:E94"/>
  <sheetViews>
    <sheetView tabSelected="1" workbookViewId="0">
      <selection activeCell="D3" sqref="D3"/>
    </sheetView>
  </sheetViews>
  <sheetFormatPr defaultRowHeight="15.6" x14ac:dyDescent="0.3"/>
  <cols>
    <col min="1" max="1" width="17.6640625" style="122" customWidth="1"/>
    <col min="2" max="2" width="16" style="116" hidden="1" customWidth="1"/>
    <col min="3" max="3" width="30.44140625" style="114" hidden="1" customWidth="1"/>
    <col min="4" max="4" width="20.6640625" style="123" customWidth="1"/>
    <col min="5" max="5" width="12.109375" bestFit="1" customWidth="1"/>
  </cols>
  <sheetData>
    <row r="1" spans="1:5" x14ac:dyDescent="0.3">
      <c r="A1" s="124" t="s">
        <v>23</v>
      </c>
      <c r="B1" s="115" t="s">
        <v>188</v>
      </c>
      <c r="C1" s="115" t="s">
        <v>192</v>
      </c>
      <c r="D1" s="121" t="s">
        <v>193</v>
      </c>
    </row>
    <row r="2" spans="1:5" x14ac:dyDescent="0.3">
      <c r="A2" s="125"/>
      <c r="B2" s="117" t="s">
        <v>189</v>
      </c>
    </row>
    <row r="3" spans="1:5" x14ac:dyDescent="0.3">
      <c r="A3" s="126" t="s">
        <v>39</v>
      </c>
      <c r="B3" s="118">
        <v>167180.55351879561</v>
      </c>
      <c r="C3" s="119">
        <f>MROUND(B3,0.01)</f>
        <v>167180.55000000002</v>
      </c>
      <c r="D3" s="129">
        <v>133744.44</v>
      </c>
      <c r="E3" s="130"/>
    </row>
    <row r="4" spans="1:5" x14ac:dyDescent="0.3">
      <c r="A4" s="127" t="s">
        <v>40</v>
      </c>
      <c r="B4" s="118">
        <v>179044.10828029201</v>
      </c>
      <c r="C4" s="119">
        <f t="shared" ref="C4:C67" si="0">MROUND(B4,0.01)</f>
        <v>179044.11000000002</v>
      </c>
      <c r="D4" s="129">
        <v>143235.29</v>
      </c>
      <c r="E4" s="130"/>
    </row>
    <row r="5" spans="1:5" x14ac:dyDescent="0.3">
      <c r="A5" s="126" t="s">
        <v>42</v>
      </c>
      <c r="B5" s="118">
        <v>175608.61584731564</v>
      </c>
      <c r="C5" s="119">
        <f t="shared" si="0"/>
        <v>175608.62</v>
      </c>
      <c r="D5" s="129">
        <v>140486.89000000001</v>
      </c>
      <c r="E5" s="130"/>
    </row>
    <row r="6" spans="1:5" x14ac:dyDescent="0.3">
      <c r="A6" s="127" t="s">
        <v>43</v>
      </c>
      <c r="B6" s="118">
        <v>171506.91436694522</v>
      </c>
      <c r="C6" s="119">
        <f t="shared" si="0"/>
        <v>171506.91</v>
      </c>
      <c r="D6" s="129">
        <v>137205.53</v>
      </c>
      <c r="E6" s="130"/>
    </row>
    <row r="7" spans="1:5" x14ac:dyDescent="0.3">
      <c r="A7" s="126" t="s">
        <v>45</v>
      </c>
      <c r="B7" s="118">
        <v>161727.1871824555</v>
      </c>
      <c r="C7" s="119">
        <f t="shared" si="0"/>
        <v>161727.19</v>
      </c>
      <c r="D7" s="129">
        <v>129381.75</v>
      </c>
      <c r="E7" s="130"/>
    </row>
    <row r="8" spans="1:5" x14ac:dyDescent="0.3">
      <c r="A8" s="127" t="s">
        <v>47</v>
      </c>
      <c r="B8" s="118">
        <v>153850.57428781426</v>
      </c>
      <c r="C8" s="119">
        <f t="shared" si="0"/>
        <v>153850.57</v>
      </c>
      <c r="D8" s="129">
        <v>123080.46</v>
      </c>
      <c r="E8" s="130"/>
    </row>
    <row r="9" spans="1:5" x14ac:dyDescent="0.3">
      <c r="A9" s="126" t="s">
        <v>49</v>
      </c>
      <c r="B9" s="118">
        <v>173418.11560210655</v>
      </c>
      <c r="C9" s="119">
        <f t="shared" si="0"/>
        <v>173418.12</v>
      </c>
      <c r="D9" s="129">
        <v>138734.49</v>
      </c>
      <c r="E9" s="130"/>
    </row>
    <row r="10" spans="1:5" x14ac:dyDescent="0.3">
      <c r="A10" s="127" t="s">
        <v>51</v>
      </c>
      <c r="B10" s="118">
        <v>164103.29484822002</v>
      </c>
      <c r="C10" s="119">
        <f t="shared" si="0"/>
        <v>164103.29</v>
      </c>
      <c r="D10" s="129">
        <v>131282.64000000001</v>
      </c>
      <c r="E10" s="130"/>
    </row>
    <row r="11" spans="1:5" x14ac:dyDescent="0.3">
      <c r="A11" s="126" t="s">
        <v>53</v>
      </c>
      <c r="B11" s="118">
        <v>165013.27278437529</v>
      </c>
      <c r="C11" s="119">
        <f t="shared" si="0"/>
        <v>165013.26999999999</v>
      </c>
      <c r="D11" s="129">
        <v>132010.62</v>
      </c>
      <c r="E11" s="130"/>
    </row>
    <row r="12" spans="1:5" x14ac:dyDescent="0.3">
      <c r="A12" s="127" t="s">
        <v>55</v>
      </c>
      <c r="B12" s="118">
        <v>166381.53188747846</v>
      </c>
      <c r="C12" s="119">
        <f t="shared" si="0"/>
        <v>166381.53</v>
      </c>
      <c r="D12" s="129">
        <v>133105.23000000001</v>
      </c>
      <c r="E12" s="130"/>
    </row>
    <row r="13" spans="1:5" x14ac:dyDescent="0.3">
      <c r="A13" s="126" t="s">
        <v>57</v>
      </c>
      <c r="B13" s="118">
        <v>169842.6873750622</v>
      </c>
      <c r="C13" s="119">
        <f t="shared" si="0"/>
        <v>169842.69</v>
      </c>
      <c r="D13" s="129">
        <v>135874.15</v>
      </c>
      <c r="E13" s="130"/>
    </row>
    <row r="14" spans="1:5" x14ac:dyDescent="0.3">
      <c r="A14" s="127" t="s">
        <v>60</v>
      </c>
      <c r="B14" s="118">
        <v>159788.4764408785</v>
      </c>
      <c r="C14" s="119">
        <f t="shared" si="0"/>
        <v>159788.48000000001</v>
      </c>
      <c r="D14" s="129">
        <v>127830.78</v>
      </c>
      <c r="E14" s="130"/>
    </row>
    <row r="15" spans="1:5" x14ac:dyDescent="0.3">
      <c r="A15" s="126" t="s">
        <v>62</v>
      </c>
      <c r="B15" s="118">
        <v>162981.75262403701</v>
      </c>
      <c r="C15" s="119">
        <f t="shared" si="0"/>
        <v>162981.75</v>
      </c>
      <c r="D15" s="129">
        <v>130385.4</v>
      </c>
      <c r="E15" s="130"/>
    </row>
    <row r="16" spans="1:5" x14ac:dyDescent="0.3">
      <c r="A16" s="127" t="s">
        <v>64</v>
      </c>
      <c r="B16" s="118">
        <v>179855.48975325841</v>
      </c>
      <c r="C16" s="119">
        <f t="shared" si="0"/>
        <v>179855.49</v>
      </c>
      <c r="D16" s="129">
        <v>143884.39000000001</v>
      </c>
      <c r="E16" s="130"/>
    </row>
    <row r="17" spans="1:5" x14ac:dyDescent="0.3">
      <c r="A17" s="126" t="s">
        <v>66</v>
      </c>
      <c r="B17" s="118">
        <v>162864.59780469391</v>
      </c>
      <c r="C17" s="119">
        <f t="shared" si="0"/>
        <v>162864.6</v>
      </c>
      <c r="D17" s="129">
        <v>130291.68</v>
      </c>
      <c r="E17" s="130"/>
    </row>
    <row r="18" spans="1:5" x14ac:dyDescent="0.3">
      <c r="A18" s="127" t="s">
        <v>69</v>
      </c>
      <c r="B18" s="118">
        <v>145590.44243452535</v>
      </c>
      <c r="C18" s="119">
        <f t="shared" si="0"/>
        <v>145590.44</v>
      </c>
      <c r="D18" s="129">
        <v>116472.35</v>
      </c>
      <c r="E18" s="130"/>
    </row>
    <row r="19" spans="1:5" x14ac:dyDescent="0.3">
      <c r="A19" s="126" t="s">
        <v>71</v>
      </c>
      <c r="B19" s="118">
        <v>160921.02067003123</v>
      </c>
      <c r="C19" s="119">
        <f t="shared" si="0"/>
        <v>160921.01999999999</v>
      </c>
      <c r="D19" s="129">
        <v>128736.82</v>
      </c>
      <c r="E19" s="130"/>
    </row>
    <row r="20" spans="1:5" x14ac:dyDescent="0.3">
      <c r="A20" s="127" t="s">
        <v>73</v>
      </c>
      <c r="B20" s="118">
        <v>173818.81212894866</v>
      </c>
      <c r="C20" s="119">
        <f t="shared" si="0"/>
        <v>173818.81</v>
      </c>
      <c r="D20" s="129">
        <v>139055.04999999999</v>
      </c>
      <c r="E20" s="130"/>
    </row>
    <row r="21" spans="1:5" x14ac:dyDescent="0.3">
      <c r="A21" s="126" t="s">
        <v>75</v>
      </c>
      <c r="B21" s="118">
        <v>186062.86657745994</v>
      </c>
      <c r="C21" s="119">
        <f t="shared" si="0"/>
        <v>186062.87</v>
      </c>
      <c r="D21" s="129">
        <v>148850.29</v>
      </c>
      <c r="E21" s="130"/>
    </row>
    <row r="22" spans="1:5" x14ac:dyDescent="0.3">
      <c r="A22" s="127" t="s">
        <v>76</v>
      </c>
      <c r="B22" s="118">
        <v>158897.50145157371</v>
      </c>
      <c r="C22" s="119">
        <f t="shared" si="0"/>
        <v>158897.5</v>
      </c>
      <c r="D22" s="129">
        <v>127118</v>
      </c>
      <c r="E22" s="130"/>
    </row>
    <row r="23" spans="1:5" x14ac:dyDescent="0.3">
      <c r="A23" s="126" t="s">
        <v>77</v>
      </c>
      <c r="B23" s="118">
        <v>166201.42875008541</v>
      </c>
      <c r="C23" s="119">
        <f t="shared" si="0"/>
        <v>166201.43</v>
      </c>
      <c r="D23" s="129">
        <v>132961.14000000001</v>
      </c>
      <c r="E23" s="130"/>
    </row>
    <row r="24" spans="1:5" x14ac:dyDescent="0.3">
      <c r="A24" s="127" t="s">
        <v>78</v>
      </c>
      <c r="B24" s="118">
        <v>163853.15748815934</v>
      </c>
      <c r="C24" s="119">
        <f t="shared" si="0"/>
        <v>163853.16</v>
      </c>
      <c r="D24" s="129">
        <v>131082.53</v>
      </c>
      <c r="E24" s="130"/>
    </row>
    <row r="25" spans="1:5" x14ac:dyDescent="0.3">
      <c r="A25" s="126" t="s">
        <v>80</v>
      </c>
      <c r="B25" s="118">
        <v>169100.88541507054</v>
      </c>
      <c r="C25" s="119">
        <f t="shared" si="0"/>
        <v>169100.89</v>
      </c>
      <c r="D25" s="129">
        <v>135280.71</v>
      </c>
      <c r="E25" s="130"/>
    </row>
    <row r="26" spans="1:5" x14ac:dyDescent="0.3">
      <c r="A26" s="127" t="s">
        <v>82</v>
      </c>
      <c r="B26" s="118">
        <v>167359.96803107418</v>
      </c>
      <c r="C26" s="119">
        <f t="shared" si="0"/>
        <v>167359.97</v>
      </c>
      <c r="D26" s="129">
        <v>133887.97</v>
      </c>
      <c r="E26" s="130"/>
    </row>
    <row r="27" spans="1:5" x14ac:dyDescent="0.3">
      <c r="A27" s="126" t="s">
        <v>83</v>
      </c>
      <c r="B27" s="118">
        <v>170858.59637420456</v>
      </c>
      <c r="C27" s="119">
        <f t="shared" si="0"/>
        <v>170858.6</v>
      </c>
      <c r="D27" s="129">
        <v>136686.88</v>
      </c>
      <c r="E27" s="130"/>
    </row>
    <row r="28" spans="1:5" x14ac:dyDescent="0.3">
      <c r="A28" s="127" t="s">
        <v>85</v>
      </c>
      <c r="B28" s="118">
        <v>156083.0776227405</v>
      </c>
      <c r="C28" s="119">
        <f t="shared" si="0"/>
        <v>156083.08000000002</v>
      </c>
      <c r="D28" s="129">
        <v>124866.46</v>
      </c>
      <c r="E28" s="130"/>
    </row>
    <row r="29" spans="1:5" x14ac:dyDescent="0.3">
      <c r="A29" s="126" t="s">
        <v>86</v>
      </c>
      <c r="B29" s="118">
        <v>201863.04866769377</v>
      </c>
      <c r="C29" s="119">
        <f t="shared" si="0"/>
        <v>201863.05000000002</v>
      </c>
      <c r="D29" s="129">
        <v>161490.44</v>
      </c>
      <c r="E29" s="130"/>
    </row>
    <row r="30" spans="1:5" x14ac:dyDescent="0.3">
      <c r="A30" s="127" t="s">
        <v>87</v>
      </c>
      <c r="B30" s="118">
        <v>162068.58360228833</v>
      </c>
      <c r="C30" s="119">
        <f t="shared" si="0"/>
        <v>162068.58000000002</v>
      </c>
      <c r="D30" s="129">
        <v>129654.87</v>
      </c>
      <c r="E30" s="130"/>
    </row>
    <row r="31" spans="1:5" x14ac:dyDescent="0.3">
      <c r="A31" s="126" t="s">
        <v>89</v>
      </c>
      <c r="B31" s="118">
        <v>162078.61459793316</v>
      </c>
      <c r="C31" s="119">
        <f t="shared" si="0"/>
        <v>162078.61000000002</v>
      </c>
      <c r="D31" s="129">
        <v>129662.89</v>
      </c>
      <c r="E31" s="130"/>
    </row>
    <row r="32" spans="1:5" x14ac:dyDescent="0.3">
      <c r="A32" s="127" t="s">
        <v>91</v>
      </c>
      <c r="B32" s="118">
        <v>181664.60497046146</v>
      </c>
      <c r="C32" s="119">
        <f t="shared" si="0"/>
        <v>181664.6</v>
      </c>
      <c r="D32" s="129">
        <v>145331.68</v>
      </c>
      <c r="E32" s="130"/>
    </row>
    <row r="33" spans="1:5" x14ac:dyDescent="0.3">
      <c r="A33" s="126" t="s">
        <v>93</v>
      </c>
      <c r="B33" s="118">
        <v>161828.59566531007</v>
      </c>
      <c r="C33" s="119">
        <f t="shared" si="0"/>
        <v>161828.6</v>
      </c>
      <c r="D33" s="129">
        <v>129462.88</v>
      </c>
      <c r="E33" s="130"/>
    </row>
    <row r="34" spans="1:5" x14ac:dyDescent="0.3">
      <c r="A34" s="127" t="s">
        <v>95</v>
      </c>
      <c r="B34" s="118">
        <v>158490.89096699472</v>
      </c>
      <c r="C34" s="119">
        <f t="shared" si="0"/>
        <v>158490.89000000001</v>
      </c>
      <c r="D34" s="129">
        <v>126792.71</v>
      </c>
      <c r="E34" s="130"/>
    </row>
    <row r="35" spans="1:5" x14ac:dyDescent="0.3">
      <c r="A35" s="126" t="s">
        <v>96</v>
      </c>
      <c r="B35" s="118">
        <v>170683.94839248498</v>
      </c>
      <c r="C35" s="119">
        <f t="shared" si="0"/>
        <v>170683.95</v>
      </c>
      <c r="D35" s="129">
        <v>136547.16</v>
      </c>
      <c r="E35" s="130"/>
    </row>
    <row r="36" spans="1:5" x14ac:dyDescent="0.3">
      <c r="A36" s="127" t="s">
        <v>97</v>
      </c>
      <c r="B36" s="118">
        <v>166722.73989658151</v>
      </c>
      <c r="C36" s="119">
        <f t="shared" si="0"/>
        <v>166722.74</v>
      </c>
      <c r="D36" s="129">
        <v>133378.19</v>
      </c>
      <c r="E36" s="130"/>
    </row>
    <row r="37" spans="1:5" x14ac:dyDescent="0.3">
      <c r="A37" s="126" t="s">
        <v>98</v>
      </c>
      <c r="B37" s="118">
        <v>166823.88970982714</v>
      </c>
      <c r="C37" s="119">
        <f t="shared" si="0"/>
        <v>166823.89000000001</v>
      </c>
      <c r="D37" s="129">
        <v>133459.10999999999</v>
      </c>
      <c r="E37" s="130"/>
    </row>
    <row r="38" spans="1:5" x14ac:dyDescent="0.3">
      <c r="A38" s="127" t="s">
        <v>100</v>
      </c>
      <c r="B38" s="118">
        <v>161528.01573676997</v>
      </c>
      <c r="C38" s="119">
        <f t="shared" si="0"/>
        <v>161528.01999999999</v>
      </c>
      <c r="D38" s="129">
        <v>129222.41</v>
      </c>
      <c r="E38" s="130"/>
    </row>
    <row r="39" spans="1:5" x14ac:dyDescent="0.3">
      <c r="A39" s="126" t="s">
        <v>101</v>
      </c>
      <c r="B39" s="118">
        <v>154370.27326437665</v>
      </c>
      <c r="C39" s="119">
        <f t="shared" si="0"/>
        <v>154370.26999999999</v>
      </c>
      <c r="D39" s="129">
        <v>123496.22</v>
      </c>
      <c r="E39" s="130"/>
    </row>
    <row r="40" spans="1:5" x14ac:dyDescent="0.3">
      <c r="A40" s="127" t="s">
        <v>102</v>
      </c>
      <c r="B40" s="118">
        <v>150546.12345909799</v>
      </c>
      <c r="C40" s="119">
        <f t="shared" si="0"/>
        <v>150546.12</v>
      </c>
      <c r="D40" s="129">
        <v>120436.9</v>
      </c>
      <c r="E40" s="130"/>
    </row>
    <row r="41" spans="1:5" x14ac:dyDescent="0.3">
      <c r="A41" s="126" t="s">
        <v>103</v>
      </c>
      <c r="B41" s="118">
        <v>160289.87007895645</v>
      </c>
      <c r="C41" s="119">
        <f t="shared" si="0"/>
        <v>160289.87</v>
      </c>
      <c r="D41" s="129">
        <v>128231.9</v>
      </c>
      <c r="E41" s="130"/>
    </row>
    <row r="42" spans="1:5" x14ac:dyDescent="0.3">
      <c r="A42" s="127" t="s">
        <v>104</v>
      </c>
      <c r="B42" s="118">
        <v>155743.72090116327</v>
      </c>
      <c r="C42" s="119">
        <f t="shared" si="0"/>
        <v>155743.72</v>
      </c>
      <c r="D42" s="129">
        <v>124594.98</v>
      </c>
      <c r="E42" s="130"/>
    </row>
    <row r="43" spans="1:5" x14ac:dyDescent="0.3">
      <c r="A43" s="126" t="s">
        <v>106</v>
      </c>
      <c r="B43" s="118">
        <v>166153.85557377327</v>
      </c>
      <c r="C43" s="119">
        <f t="shared" si="0"/>
        <v>166153.86000000002</v>
      </c>
      <c r="D43" s="129">
        <v>132923.07999999999</v>
      </c>
      <c r="E43" s="130"/>
    </row>
    <row r="44" spans="1:5" x14ac:dyDescent="0.3">
      <c r="A44" s="127" t="s">
        <v>108</v>
      </c>
      <c r="B44" s="118">
        <v>153007.58124093036</v>
      </c>
      <c r="C44" s="119">
        <f t="shared" si="0"/>
        <v>153007.58000000002</v>
      </c>
      <c r="D44" s="129">
        <v>122406.06</v>
      </c>
      <c r="E44" s="130"/>
    </row>
    <row r="45" spans="1:5" x14ac:dyDescent="0.3">
      <c r="A45" s="126" t="s">
        <v>109</v>
      </c>
      <c r="B45" s="118">
        <v>181013.09651752413</v>
      </c>
      <c r="C45" s="119">
        <f t="shared" si="0"/>
        <v>181013.1</v>
      </c>
      <c r="D45" s="129">
        <v>144810.48000000001</v>
      </c>
      <c r="E45" s="130"/>
    </row>
    <row r="46" spans="1:5" x14ac:dyDescent="0.3">
      <c r="A46" s="127" t="s">
        <v>113</v>
      </c>
      <c r="B46" s="118">
        <v>165398.03423065308</v>
      </c>
      <c r="C46" s="119">
        <f t="shared" si="0"/>
        <v>165398.03</v>
      </c>
      <c r="D46" s="129">
        <v>132318.43</v>
      </c>
      <c r="E46" s="130"/>
    </row>
    <row r="47" spans="1:5" x14ac:dyDescent="0.3">
      <c r="A47" s="126" t="s">
        <v>115</v>
      </c>
      <c r="B47" s="118">
        <v>162872.70228996995</v>
      </c>
      <c r="C47" s="119">
        <f t="shared" si="0"/>
        <v>162872.70000000001</v>
      </c>
      <c r="D47" s="129">
        <v>130298.16</v>
      </c>
      <c r="E47" s="130"/>
    </row>
    <row r="48" spans="1:5" x14ac:dyDescent="0.3">
      <c r="A48" s="127" t="s">
        <v>117</v>
      </c>
      <c r="B48" s="118">
        <v>163131.92719207244</v>
      </c>
      <c r="C48" s="119">
        <f t="shared" si="0"/>
        <v>163131.93</v>
      </c>
      <c r="D48" s="129">
        <v>130505.54</v>
      </c>
      <c r="E48" s="130"/>
    </row>
    <row r="49" spans="1:5" x14ac:dyDescent="0.3">
      <c r="A49" s="126" t="s">
        <v>119</v>
      </c>
      <c r="B49" s="118">
        <v>160353.53901253172</v>
      </c>
      <c r="C49" s="119">
        <f t="shared" si="0"/>
        <v>160353.54</v>
      </c>
      <c r="D49" s="129">
        <v>128282.83</v>
      </c>
      <c r="E49" s="130"/>
    </row>
    <row r="50" spans="1:5" x14ac:dyDescent="0.3">
      <c r="A50" s="127" t="s">
        <v>121</v>
      </c>
      <c r="B50" s="118">
        <v>176314.92167010304</v>
      </c>
      <c r="C50" s="119">
        <f t="shared" si="0"/>
        <v>176314.92</v>
      </c>
      <c r="D50" s="129">
        <v>141051.94</v>
      </c>
      <c r="E50" s="130"/>
    </row>
    <row r="51" spans="1:5" x14ac:dyDescent="0.3">
      <c r="A51" s="126" t="s">
        <v>123</v>
      </c>
      <c r="B51" s="118">
        <v>169207.7784372938</v>
      </c>
      <c r="C51" s="119">
        <f t="shared" si="0"/>
        <v>169207.78</v>
      </c>
      <c r="D51" s="129">
        <v>135366.22</v>
      </c>
      <c r="E51" s="130"/>
    </row>
    <row r="52" spans="1:5" x14ac:dyDescent="0.3">
      <c r="A52" s="127" t="s">
        <v>124</v>
      </c>
      <c r="B52" s="118">
        <v>161117.21097242285</v>
      </c>
      <c r="C52" s="119">
        <f t="shared" si="0"/>
        <v>161117.21</v>
      </c>
      <c r="D52" s="129">
        <v>128893.77</v>
      </c>
      <c r="E52" s="130"/>
    </row>
    <row r="53" spans="1:5" x14ac:dyDescent="0.3">
      <c r="A53" s="126" t="s">
        <v>127</v>
      </c>
      <c r="B53" s="118">
        <v>161413.87797413763</v>
      </c>
      <c r="C53" s="119">
        <f t="shared" si="0"/>
        <v>161413.88</v>
      </c>
      <c r="D53" s="129">
        <v>129131.1</v>
      </c>
      <c r="E53" s="130"/>
    </row>
    <row r="54" spans="1:5" x14ac:dyDescent="0.3">
      <c r="A54" s="127" t="s">
        <v>129</v>
      </c>
      <c r="B54" s="118">
        <v>166004.11164604459</v>
      </c>
      <c r="C54" s="119">
        <f t="shared" si="0"/>
        <v>166004.11000000002</v>
      </c>
      <c r="D54" s="129">
        <v>132803.29</v>
      </c>
      <c r="E54" s="130"/>
    </row>
    <row r="55" spans="1:5" x14ac:dyDescent="0.3">
      <c r="A55" s="126" t="s">
        <v>131</v>
      </c>
      <c r="B55" s="118">
        <v>164879.56179165398</v>
      </c>
      <c r="C55" s="119">
        <f t="shared" si="0"/>
        <v>164879.56</v>
      </c>
      <c r="D55" s="129">
        <v>131903.65</v>
      </c>
      <c r="E55" s="130"/>
    </row>
    <row r="56" spans="1:5" x14ac:dyDescent="0.3">
      <c r="A56" s="127" t="s">
        <v>133</v>
      </c>
      <c r="B56" s="118">
        <v>177894.14309080725</v>
      </c>
      <c r="C56" s="119">
        <f t="shared" si="0"/>
        <v>177894.14</v>
      </c>
      <c r="D56" s="129">
        <v>142315.31</v>
      </c>
      <c r="E56" s="130"/>
    </row>
    <row r="57" spans="1:5" x14ac:dyDescent="0.3">
      <c r="A57" s="126" t="s">
        <v>135</v>
      </c>
      <c r="B57" s="118">
        <v>173597.51006102609</v>
      </c>
      <c r="C57" s="119">
        <f t="shared" si="0"/>
        <v>173597.51</v>
      </c>
      <c r="D57" s="129">
        <v>138878.01</v>
      </c>
      <c r="E57" s="130"/>
    </row>
    <row r="58" spans="1:5" x14ac:dyDescent="0.3">
      <c r="A58" s="127" t="s">
        <v>137</v>
      </c>
      <c r="B58" s="118">
        <v>173321.47731686127</v>
      </c>
      <c r="C58" s="119">
        <f t="shared" si="0"/>
        <v>173321.48</v>
      </c>
      <c r="D58" s="129">
        <v>138657.18</v>
      </c>
      <c r="E58" s="130"/>
    </row>
    <row r="59" spans="1:5" x14ac:dyDescent="0.3">
      <c r="A59" s="126" t="s">
        <v>138</v>
      </c>
      <c r="B59" s="118">
        <v>161286.60447442863</v>
      </c>
      <c r="C59" s="119">
        <f t="shared" si="0"/>
        <v>161286.6</v>
      </c>
      <c r="D59" s="129">
        <v>129029.28</v>
      </c>
      <c r="E59" s="130"/>
    </row>
    <row r="60" spans="1:5" x14ac:dyDescent="0.3">
      <c r="A60" s="127" t="s">
        <v>139</v>
      </c>
      <c r="B60" s="118">
        <v>175826.44095609293</v>
      </c>
      <c r="C60" s="119">
        <f t="shared" si="0"/>
        <v>175826.44</v>
      </c>
      <c r="D60" s="129">
        <v>140661.15</v>
      </c>
      <c r="E60" s="130"/>
    </row>
    <row r="61" spans="1:5" x14ac:dyDescent="0.3">
      <c r="A61" s="126" t="s">
        <v>142</v>
      </c>
      <c r="B61" s="118">
        <v>156074.92356024898</v>
      </c>
      <c r="C61" s="119">
        <f t="shared" si="0"/>
        <v>156074.92000000001</v>
      </c>
      <c r="D61" s="129">
        <v>124859.94</v>
      </c>
      <c r="E61" s="130"/>
    </row>
    <row r="62" spans="1:5" x14ac:dyDescent="0.3">
      <c r="A62" s="127" t="s">
        <v>144</v>
      </c>
      <c r="B62" s="118">
        <v>160719.47848513137</v>
      </c>
      <c r="C62" s="119">
        <f t="shared" si="0"/>
        <v>160719.48000000001</v>
      </c>
      <c r="D62" s="129">
        <v>128575.58</v>
      </c>
      <c r="E62" s="130"/>
    </row>
    <row r="63" spans="1:5" x14ac:dyDescent="0.3">
      <c r="A63" s="126" t="s">
        <v>146</v>
      </c>
      <c r="B63" s="118">
        <v>178992.00131971197</v>
      </c>
      <c r="C63" s="119">
        <f t="shared" si="0"/>
        <v>178992</v>
      </c>
      <c r="D63" s="129">
        <v>143193.60000000001</v>
      </c>
      <c r="E63" s="130"/>
    </row>
    <row r="64" spans="1:5" x14ac:dyDescent="0.3">
      <c r="A64" s="127" t="s">
        <v>148</v>
      </c>
      <c r="B64" s="118">
        <v>160904.46842877261</v>
      </c>
      <c r="C64" s="119">
        <f t="shared" si="0"/>
        <v>160904.47</v>
      </c>
      <c r="D64" s="129">
        <v>128723.57</v>
      </c>
      <c r="E64" s="130"/>
    </row>
    <row r="65" spans="1:5" x14ac:dyDescent="0.3">
      <c r="A65" s="126" t="s">
        <v>149</v>
      </c>
      <c r="B65" s="118">
        <v>179261.33423366386</v>
      </c>
      <c r="C65" s="119">
        <f t="shared" si="0"/>
        <v>179261.33000000002</v>
      </c>
      <c r="D65" s="129">
        <v>143409.07</v>
      </c>
      <c r="E65" s="130"/>
    </row>
    <row r="66" spans="1:5" x14ac:dyDescent="0.3">
      <c r="A66" s="127" t="s">
        <v>150</v>
      </c>
      <c r="B66" s="118">
        <v>152510.6718176679</v>
      </c>
      <c r="C66" s="119">
        <f t="shared" si="0"/>
        <v>152510.67000000001</v>
      </c>
      <c r="D66" s="129">
        <v>122008.54</v>
      </c>
      <c r="E66" s="130"/>
    </row>
    <row r="67" spans="1:5" x14ac:dyDescent="0.3">
      <c r="A67" s="126" t="s">
        <v>151</v>
      </c>
      <c r="B67" s="118">
        <v>168257.52622214047</v>
      </c>
      <c r="C67" s="119">
        <f t="shared" si="0"/>
        <v>168257.53</v>
      </c>
      <c r="D67" s="129">
        <v>134606.01999999999</v>
      </c>
      <c r="E67" s="130"/>
    </row>
    <row r="68" spans="1:5" x14ac:dyDescent="0.3">
      <c r="A68" s="127" t="s">
        <v>152</v>
      </c>
      <c r="B68" s="118">
        <v>171067.82698409873</v>
      </c>
      <c r="C68" s="119">
        <f t="shared" ref="C68:C92" si="1">MROUND(B68,0.01)</f>
        <v>171067.83000000002</v>
      </c>
      <c r="D68" s="129">
        <v>136854.26</v>
      </c>
      <c r="E68" s="130"/>
    </row>
    <row r="69" spans="1:5" x14ac:dyDescent="0.3">
      <c r="A69" s="126" t="s">
        <v>153</v>
      </c>
      <c r="B69" s="118">
        <v>166777.13649618434</v>
      </c>
      <c r="C69" s="119">
        <f t="shared" si="1"/>
        <v>166777.14000000001</v>
      </c>
      <c r="D69" s="129">
        <v>133421.71</v>
      </c>
      <c r="E69" s="130"/>
    </row>
    <row r="70" spans="1:5" x14ac:dyDescent="0.3">
      <c r="A70" s="127" t="s">
        <v>156</v>
      </c>
      <c r="B70" s="118">
        <v>156701.57036556987</v>
      </c>
      <c r="C70" s="119">
        <f t="shared" si="1"/>
        <v>156701.57</v>
      </c>
      <c r="D70" s="129">
        <v>125361.26</v>
      </c>
      <c r="E70" s="130"/>
    </row>
    <row r="71" spans="1:5" x14ac:dyDescent="0.3">
      <c r="A71" s="126" t="s">
        <v>158</v>
      </c>
      <c r="B71" s="118">
        <v>159893.71061798578</v>
      </c>
      <c r="C71" s="119">
        <f t="shared" si="1"/>
        <v>159893.71</v>
      </c>
      <c r="D71" s="129">
        <v>127914.97</v>
      </c>
      <c r="E71" s="130"/>
    </row>
    <row r="72" spans="1:5" x14ac:dyDescent="0.3">
      <c r="A72" s="127" t="s">
        <v>159</v>
      </c>
      <c r="B72" s="118">
        <v>175976.41024015355</v>
      </c>
      <c r="C72" s="119">
        <f t="shared" si="1"/>
        <v>175976.41</v>
      </c>
      <c r="D72" s="129">
        <v>140781.13</v>
      </c>
      <c r="E72" s="130"/>
    </row>
    <row r="73" spans="1:5" x14ac:dyDescent="0.3">
      <c r="A73" s="126" t="s">
        <v>160</v>
      </c>
      <c r="B73" s="118">
        <v>196581.91294203815</v>
      </c>
      <c r="C73" s="119">
        <f t="shared" si="1"/>
        <v>196581.91</v>
      </c>
      <c r="D73" s="129">
        <v>157265.53</v>
      </c>
      <c r="E73" s="130"/>
    </row>
    <row r="74" spans="1:5" x14ac:dyDescent="0.3">
      <c r="A74" s="127" t="s">
        <v>161</v>
      </c>
      <c r="B74" s="118">
        <v>178972.55326579642</v>
      </c>
      <c r="C74" s="119">
        <f t="shared" si="1"/>
        <v>178972.55000000002</v>
      </c>
      <c r="D74" s="129">
        <v>143178.04</v>
      </c>
      <c r="E74" s="130"/>
    </row>
    <row r="75" spans="1:5" x14ac:dyDescent="0.3">
      <c r="A75" s="126" t="s">
        <v>162</v>
      </c>
      <c r="B75" s="118">
        <v>169224.18922106075</v>
      </c>
      <c r="C75" s="119">
        <f t="shared" si="1"/>
        <v>169224.19</v>
      </c>
      <c r="D75" s="129">
        <v>135379.35</v>
      </c>
      <c r="E75" s="130"/>
    </row>
    <row r="76" spans="1:5" x14ac:dyDescent="0.3">
      <c r="A76" s="127" t="s">
        <v>163</v>
      </c>
      <c r="B76" s="118">
        <v>166692.58603151614</v>
      </c>
      <c r="C76" s="119">
        <f t="shared" si="1"/>
        <v>166692.59</v>
      </c>
      <c r="D76" s="129">
        <v>133354.07</v>
      </c>
      <c r="E76" s="130"/>
    </row>
    <row r="77" spans="1:5" x14ac:dyDescent="0.3">
      <c r="A77" s="126" t="s">
        <v>164</v>
      </c>
      <c r="B77" s="118">
        <v>160934.39554425993</v>
      </c>
      <c r="C77" s="119">
        <f t="shared" si="1"/>
        <v>160934.39999999999</v>
      </c>
      <c r="D77" s="129">
        <v>128747.52</v>
      </c>
      <c r="E77" s="130"/>
    </row>
    <row r="78" spans="1:5" x14ac:dyDescent="0.3">
      <c r="A78" s="127" t="s">
        <v>165</v>
      </c>
      <c r="B78" s="118">
        <v>194669.0019962159</v>
      </c>
      <c r="C78" s="119">
        <f t="shared" si="1"/>
        <v>194669</v>
      </c>
      <c r="D78" s="129">
        <v>155735.20000000001</v>
      </c>
      <c r="E78" s="130"/>
    </row>
    <row r="79" spans="1:5" x14ac:dyDescent="0.3">
      <c r="A79" s="126" t="s">
        <v>166</v>
      </c>
      <c r="B79" s="118">
        <v>161491.83580192554</v>
      </c>
      <c r="C79" s="119">
        <f t="shared" si="1"/>
        <v>161491.84</v>
      </c>
      <c r="D79" s="129">
        <v>129193.47</v>
      </c>
      <c r="E79" s="130"/>
    </row>
    <row r="80" spans="1:5" x14ac:dyDescent="0.3">
      <c r="A80" s="127" t="s">
        <v>167</v>
      </c>
      <c r="B80" s="118">
        <v>158089.1988182783</v>
      </c>
      <c r="C80" s="119">
        <f t="shared" si="1"/>
        <v>158089.20000000001</v>
      </c>
      <c r="D80" s="129">
        <v>126471.36</v>
      </c>
      <c r="E80" s="130"/>
    </row>
    <row r="81" spans="1:5" x14ac:dyDescent="0.3">
      <c r="A81" s="126" t="s">
        <v>168</v>
      </c>
      <c r="B81" s="118">
        <v>162685.8513274868</v>
      </c>
      <c r="C81" s="119">
        <f t="shared" si="1"/>
        <v>162685.85</v>
      </c>
      <c r="D81" s="129">
        <v>130148.68</v>
      </c>
      <c r="E81" s="130"/>
    </row>
    <row r="82" spans="1:5" x14ac:dyDescent="0.3">
      <c r="A82" s="127" t="s">
        <v>169</v>
      </c>
      <c r="B82" s="118">
        <v>172120.14617458163</v>
      </c>
      <c r="C82" s="119">
        <f t="shared" si="1"/>
        <v>172120.15</v>
      </c>
      <c r="D82" s="129">
        <v>137696.12</v>
      </c>
      <c r="E82" s="130"/>
    </row>
    <row r="83" spans="1:5" x14ac:dyDescent="0.3">
      <c r="A83" s="126" t="s">
        <v>170</v>
      </c>
      <c r="B83" s="118">
        <v>155554.13362764244</v>
      </c>
      <c r="C83" s="119">
        <f t="shared" si="1"/>
        <v>155554.13</v>
      </c>
      <c r="D83" s="129">
        <v>124443.31</v>
      </c>
      <c r="E83" s="130"/>
    </row>
    <row r="84" spans="1:5" x14ac:dyDescent="0.3">
      <c r="A84" s="127" t="s">
        <v>171</v>
      </c>
      <c r="B84" s="118">
        <v>160115.02580379311</v>
      </c>
      <c r="C84" s="119">
        <f t="shared" si="1"/>
        <v>160115.03</v>
      </c>
      <c r="D84" s="129">
        <v>128092.02</v>
      </c>
      <c r="E84" s="130"/>
    </row>
    <row r="85" spans="1:5" x14ac:dyDescent="0.3">
      <c r="A85" s="126" t="s">
        <v>172</v>
      </c>
      <c r="B85" s="118">
        <v>158355.39379355978</v>
      </c>
      <c r="C85" s="119">
        <f t="shared" si="1"/>
        <v>158355.39000000001</v>
      </c>
      <c r="D85" s="129">
        <v>126684.32</v>
      </c>
      <c r="E85" s="130"/>
    </row>
    <row r="86" spans="1:5" x14ac:dyDescent="0.3">
      <c r="A86" s="127" t="s">
        <v>173</v>
      </c>
      <c r="B86" s="118">
        <v>157727.36894035622</v>
      </c>
      <c r="C86" s="119">
        <f t="shared" si="1"/>
        <v>157727.37</v>
      </c>
      <c r="D86" s="129">
        <v>126181.9</v>
      </c>
      <c r="E86" s="130"/>
    </row>
    <row r="87" spans="1:5" x14ac:dyDescent="0.3">
      <c r="A87" s="126" t="s">
        <v>174</v>
      </c>
      <c r="B87" s="118">
        <v>175871.00962356845</v>
      </c>
      <c r="C87" s="119">
        <f t="shared" si="1"/>
        <v>175871.01</v>
      </c>
      <c r="D87" s="129">
        <v>140696.81</v>
      </c>
      <c r="E87" s="130"/>
    </row>
    <row r="88" spans="1:5" x14ac:dyDescent="0.3">
      <c r="A88" s="127" t="s">
        <v>175</v>
      </c>
      <c r="B88" s="118">
        <v>156073.41490418708</v>
      </c>
      <c r="C88" s="119">
        <f t="shared" si="1"/>
        <v>156073.41</v>
      </c>
      <c r="D88" s="129">
        <v>124858.73</v>
      </c>
      <c r="E88" s="130"/>
    </row>
    <row r="89" spans="1:5" x14ac:dyDescent="0.3">
      <c r="A89" s="126" t="s">
        <v>176</v>
      </c>
      <c r="B89" s="118">
        <v>161933.44802276854</v>
      </c>
      <c r="C89" s="119">
        <f t="shared" si="1"/>
        <v>161933.45000000001</v>
      </c>
      <c r="D89" s="129">
        <v>129546.76</v>
      </c>
      <c r="E89" s="130"/>
    </row>
    <row r="90" spans="1:5" x14ac:dyDescent="0.3">
      <c r="A90" s="127" t="s">
        <v>177</v>
      </c>
      <c r="B90" s="118">
        <v>166710.17438269543</v>
      </c>
      <c r="C90" s="119">
        <f t="shared" si="1"/>
        <v>166710.17000000001</v>
      </c>
      <c r="D90" s="129">
        <v>133368.14000000001</v>
      </c>
      <c r="E90" s="130"/>
    </row>
    <row r="91" spans="1:5" x14ac:dyDescent="0.3">
      <c r="A91" s="126" t="s">
        <v>178</v>
      </c>
      <c r="B91" s="118">
        <v>176293.01286611802</v>
      </c>
      <c r="C91" s="119">
        <f t="shared" si="1"/>
        <v>176293.01</v>
      </c>
      <c r="D91" s="129">
        <v>141034.41</v>
      </c>
      <c r="E91" s="130"/>
    </row>
    <row r="92" spans="1:5" x14ac:dyDescent="0.3">
      <c r="A92" s="127" t="s">
        <v>179</v>
      </c>
      <c r="B92" s="118">
        <v>163356.06423495384</v>
      </c>
      <c r="C92" s="119">
        <f t="shared" si="1"/>
        <v>163356.06</v>
      </c>
      <c r="D92" s="129">
        <v>130684.85</v>
      </c>
      <c r="E92" s="130"/>
    </row>
    <row r="93" spans="1:5" x14ac:dyDescent="0.3">
      <c r="A93" s="128"/>
      <c r="B93" s="120"/>
      <c r="C93" s="119"/>
    </row>
    <row r="94" spans="1:5" x14ac:dyDescent="0.3">
      <c r="D94" s="123">
        <f>SUM(D3:D92)</f>
        <v>12000000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Cubes with Lakes</vt:lpstr>
      <vt:lpstr>Cubes</vt:lpstr>
      <vt:lpstr>SWCD Aid rounded</vt:lpstr>
      <vt:lpstr>Cubes!Database</vt:lpstr>
      <vt:lpstr>'Cubes with Lakes'!Database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Hrubes</dc:creator>
  <cp:lastModifiedBy>Andrea Fish</cp:lastModifiedBy>
  <dcterms:created xsi:type="dcterms:W3CDTF">2023-04-26T17:58:38Z</dcterms:created>
  <dcterms:modified xsi:type="dcterms:W3CDTF">2025-05-29T12:19:53Z</dcterms:modified>
</cp:coreProperties>
</file>