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2EC" lockStructure="1"/>
  <bookViews>
    <workbookView xWindow="0" yWindow="180" windowWidth="14715" windowHeight="7365" tabRatio="733" activeTab="1"/>
  </bookViews>
  <sheets>
    <sheet name="Instructions" sheetId="22" r:id="rId1"/>
    <sheet name="(STEP 1) Baseline Conditions" sheetId="13" r:id="rId2"/>
    <sheet name="(STEP 2) Alternative BMP Choice" sheetId="21" r:id="rId3"/>
    <sheet name="Printout" sheetId="26" r:id="rId4"/>
    <sheet name="Management Condition Ex." sheetId="19" r:id="rId5"/>
    <sheet name="BMP Removal Rates" sheetId="12" state="veryHidden" r:id="rId6"/>
    <sheet name="Dosskey Coefficients" sheetId="18" state="veryHidden" r:id="rId7"/>
    <sheet name="270 Baseline RESULTS" sheetId="5" state="veryHidden" r:id="rId8"/>
    <sheet name="Buffer Trapping Line" sheetId="2" state="veryHidden" r:id="rId9"/>
    <sheet name="Buffer Reductions" sheetId="14" state="veryHidden" r:id="rId10"/>
    <sheet name="Berm Reductions" sheetId="15" state="veryHidden" r:id="rId11"/>
    <sheet name="BERM_data for P Index" sheetId="16" state="veryHidden" r:id="rId12"/>
    <sheet name="P Index Results" sheetId="8" state="veryHidden" r:id="rId13"/>
    <sheet name="C_factor" sheetId="7" state="veryHidden" r:id="rId14"/>
    <sheet name="Mgmt condition" sheetId="1" state="veryHidden" r:id="rId15"/>
    <sheet name="BMP Suitability 01" sheetId="11" state="veryHidden" r:id="rId16"/>
    <sheet name="BMP Suitability 123" sheetId="10" state="veryHidden" r:id="rId17"/>
    <sheet name="BMP Suitability LMH" sheetId="9" state="veryHidden" r:id="rId18"/>
    <sheet name="P Fertilizer Rate" sheetId="4" state="veryHidden" r:id="rId19"/>
    <sheet name="P Fert Rate for 270 Scenarios" sheetId="3" state="veryHidden" r:id="rId20"/>
  </sheets>
  <externalReferences>
    <externalReference r:id="rId21"/>
  </externalReferences>
  <definedNames>
    <definedName name="_xlnm.Print_Area" localSheetId="3">Printout!$A$1:$M$37</definedName>
    <definedName name="watershed_list">[1]Watersheds!$A$38:$A$117</definedName>
  </definedNames>
  <calcPr calcId="145621"/>
</workbook>
</file>

<file path=xl/calcChain.xml><?xml version="1.0" encoding="utf-8"?>
<calcChain xmlns="http://schemas.openxmlformats.org/spreadsheetml/2006/main">
  <c r="T4" i="18" l="1"/>
  <c r="T3" i="18" l="1"/>
  <c r="R3" i="12" l="1"/>
  <c r="S3" i="12"/>
  <c r="T3" i="12"/>
  <c r="U3" i="12"/>
  <c r="V3" i="12"/>
  <c r="W3" i="12"/>
  <c r="X3" i="12"/>
  <c r="Y3" i="12"/>
  <c r="Z3" i="12"/>
  <c r="AA3" i="12"/>
  <c r="AB3" i="12"/>
  <c r="AC3" i="12"/>
  <c r="R4" i="12"/>
  <c r="S4" i="12"/>
  <c r="T4" i="12"/>
  <c r="U4" i="12"/>
  <c r="V4" i="12"/>
  <c r="W4" i="12"/>
  <c r="X4" i="12"/>
  <c r="Y4" i="12"/>
  <c r="Z4" i="12"/>
  <c r="AA4" i="12"/>
  <c r="AB4" i="12"/>
  <c r="AC4" i="12"/>
  <c r="R5" i="12"/>
  <c r="S5" i="12"/>
  <c r="T5" i="12"/>
  <c r="U5" i="12"/>
  <c r="V5" i="12"/>
  <c r="W5" i="12"/>
  <c r="X5" i="12"/>
  <c r="Y5" i="12"/>
  <c r="Z5" i="12"/>
  <c r="AA5" i="12"/>
  <c r="AB5" i="12"/>
  <c r="AC5" i="12"/>
  <c r="R6" i="12"/>
  <c r="S6" i="12"/>
  <c r="T6" i="12"/>
  <c r="U6" i="12"/>
  <c r="V6" i="12"/>
  <c r="W6" i="12"/>
  <c r="X6" i="12"/>
  <c r="Y6" i="12"/>
  <c r="Z6" i="12"/>
  <c r="AA6" i="12"/>
  <c r="AB6" i="12"/>
  <c r="AC6" i="12"/>
  <c r="R7" i="12"/>
  <c r="S7" i="12"/>
  <c r="T7" i="12"/>
  <c r="U7" i="12"/>
  <c r="V7" i="12"/>
  <c r="W7" i="12"/>
  <c r="X7" i="12"/>
  <c r="Y7" i="12"/>
  <c r="Z7" i="12"/>
  <c r="AA7" i="12"/>
  <c r="AB7" i="12"/>
  <c r="AC7" i="12"/>
  <c r="R8" i="12"/>
  <c r="S8" i="12"/>
  <c r="T8" i="12"/>
  <c r="U8" i="12"/>
  <c r="V8" i="12"/>
  <c r="W8" i="12"/>
  <c r="X8" i="12"/>
  <c r="Y8" i="12"/>
  <c r="Z8" i="12"/>
  <c r="AA8" i="12"/>
  <c r="AB8" i="12"/>
  <c r="AC8" i="12"/>
  <c r="R9" i="12"/>
  <c r="S9" i="12"/>
  <c r="T9" i="12"/>
  <c r="U9" i="12"/>
  <c r="V9" i="12"/>
  <c r="W9" i="12"/>
  <c r="X9" i="12"/>
  <c r="Y9" i="12"/>
  <c r="Z9" i="12"/>
  <c r="AA9" i="12"/>
  <c r="AB9" i="12"/>
  <c r="AC9" i="12"/>
  <c r="R10" i="12"/>
  <c r="S10" i="12"/>
  <c r="T10" i="12"/>
  <c r="U10" i="12"/>
  <c r="V10" i="12"/>
  <c r="W10" i="12"/>
  <c r="X10" i="12"/>
  <c r="Y10" i="12"/>
  <c r="Z10" i="12"/>
  <c r="AA10" i="12"/>
  <c r="AB10" i="12"/>
  <c r="AC10" i="12"/>
  <c r="R11" i="12"/>
  <c r="S11" i="12"/>
  <c r="T11" i="12"/>
  <c r="U11" i="12"/>
  <c r="V11" i="12"/>
  <c r="W11" i="12"/>
  <c r="X11" i="12"/>
  <c r="Y11" i="12"/>
  <c r="Z11" i="12"/>
  <c r="AA11" i="12"/>
  <c r="AB11" i="12"/>
  <c r="AC11" i="12"/>
  <c r="R12" i="12"/>
  <c r="S12" i="12"/>
  <c r="T12" i="12"/>
  <c r="U12" i="12"/>
  <c r="V12" i="12"/>
  <c r="W12" i="12"/>
  <c r="X12" i="12"/>
  <c r="Y12" i="12"/>
  <c r="Z12" i="12"/>
  <c r="AA12" i="12"/>
  <c r="AB12" i="12"/>
  <c r="AC12" i="12"/>
  <c r="R13" i="12"/>
  <c r="S13" i="12"/>
  <c r="T13" i="12"/>
  <c r="U13" i="12"/>
  <c r="V13" i="12"/>
  <c r="W13" i="12"/>
  <c r="X13" i="12"/>
  <c r="Y13" i="12"/>
  <c r="Z13" i="12"/>
  <c r="AA13" i="12"/>
  <c r="AB13" i="12"/>
  <c r="AC13" i="12"/>
  <c r="R14" i="12"/>
  <c r="S14" i="12"/>
  <c r="T14" i="12"/>
  <c r="U14" i="12"/>
  <c r="V14" i="12"/>
  <c r="W14" i="12"/>
  <c r="X14" i="12"/>
  <c r="Y14" i="12"/>
  <c r="Z14" i="12"/>
  <c r="AA14" i="12"/>
  <c r="AB14" i="12"/>
  <c r="AC14" i="12"/>
  <c r="R15" i="12"/>
  <c r="S15" i="12"/>
  <c r="T15" i="12"/>
  <c r="U15" i="12"/>
  <c r="V15" i="12"/>
  <c r="W15" i="12"/>
  <c r="X15" i="12"/>
  <c r="Y15" i="12"/>
  <c r="Z15" i="12"/>
  <c r="AA15" i="12"/>
  <c r="AB15" i="12"/>
  <c r="AC15" i="12"/>
  <c r="R16" i="12"/>
  <c r="S16" i="12"/>
  <c r="T16" i="12"/>
  <c r="U16" i="12"/>
  <c r="V16" i="12"/>
  <c r="W16" i="12"/>
  <c r="X16" i="12"/>
  <c r="Y16" i="12"/>
  <c r="Z16" i="12"/>
  <c r="AA16" i="12"/>
  <c r="AB16" i="12"/>
  <c r="AC16" i="12"/>
  <c r="R17" i="12"/>
  <c r="S17" i="12"/>
  <c r="T17" i="12"/>
  <c r="U17" i="12"/>
  <c r="V17" i="12"/>
  <c r="W17" i="12"/>
  <c r="X17" i="12"/>
  <c r="Y17" i="12"/>
  <c r="Z17" i="12"/>
  <c r="AA17" i="12"/>
  <c r="AB17" i="12"/>
  <c r="AC17" i="12"/>
  <c r="R18" i="12"/>
  <c r="S18" i="12"/>
  <c r="T18" i="12"/>
  <c r="U18" i="12"/>
  <c r="V18" i="12"/>
  <c r="W18" i="12"/>
  <c r="X18" i="12"/>
  <c r="Y18" i="12"/>
  <c r="Z18" i="12"/>
  <c r="AA18" i="12"/>
  <c r="AB18" i="12"/>
  <c r="AC18" i="12"/>
  <c r="R19" i="12"/>
  <c r="S19" i="12"/>
  <c r="T19" i="12"/>
  <c r="U19" i="12"/>
  <c r="V19" i="12"/>
  <c r="W19" i="12"/>
  <c r="X19" i="12"/>
  <c r="Y19" i="12"/>
  <c r="Z19" i="12"/>
  <c r="AA19" i="12"/>
  <c r="AB19" i="12"/>
  <c r="AC19" i="12"/>
  <c r="R20" i="12"/>
  <c r="S20" i="12"/>
  <c r="T20" i="12"/>
  <c r="U20" i="12"/>
  <c r="V20" i="12"/>
  <c r="W20" i="12"/>
  <c r="X20" i="12"/>
  <c r="Y20" i="12"/>
  <c r="Z20" i="12"/>
  <c r="AA20" i="12"/>
  <c r="AB20" i="12"/>
  <c r="AC20" i="12"/>
  <c r="R21" i="12"/>
  <c r="S21" i="12"/>
  <c r="T21" i="12"/>
  <c r="U21" i="12"/>
  <c r="V21" i="12"/>
  <c r="W21" i="12"/>
  <c r="X21" i="12"/>
  <c r="Y21" i="12"/>
  <c r="Z21" i="12"/>
  <c r="AA21" i="12"/>
  <c r="AB21" i="12"/>
  <c r="AC21" i="12"/>
  <c r="R22" i="12"/>
  <c r="S22" i="12"/>
  <c r="T22" i="12"/>
  <c r="U22" i="12"/>
  <c r="V22" i="12"/>
  <c r="W22" i="12"/>
  <c r="X22" i="12"/>
  <c r="Y22" i="12"/>
  <c r="Z22" i="12"/>
  <c r="AA22" i="12"/>
  <c r="AB22" i="12"/>
  <c r="AC22" i="12"/>
  <c r="R23" i="12"/>
  <c r="S23" i="12"/>
  <c r="T23" i="12"/>
  <c r="U23" i="12"/>
  <c r="V23" i="12"/>
  <c r="W23" i="12"/>
  <c r="X23" i="12"/>
  <c r="Y23" i="12"/>
  <c r="Z23" i="12"/>
  <c r="AA23" i="12"/>
  <c r="AB23" i="12"/>
  <c r="AC23" i="12"/>
  <c r="R24" i="12"/>
  <c r="S24" i="12"/>
  <c r="T24" i="12"/>
  <c r="U24" i="12"/>
  <c r="V24" i="12"/>
  <c r="W24" i="12"/>
  <c r="X24" i="12"/>
  <c r="Y24" i="12"/>
  <c r="Z24" i="12"/>
  <c r="AA24" i="12"/>
  <c r="AB24" i="12"/>
  <c r="AC24" i="12"/>
  <c r="R25" i="12"/>
  <c r="S25" i="12"/>
  <c r="T25" i="12"/>
  <c r="U25" i="12"/>
  <c r="V25" i="12"/>
  <c r="W25" i="12"/>
  <c r="X25" i="12"/>
  <c r="Y25" i="12"/>
  <c r="Z25" i="12"/>
  <c r="AA25" i="12"/>
  <c r="AB25" i="12"/>
  <c r="AC25" i="12"/>
  <c r="R26" i="12"/>
  <c r="S26" i="12"/>
  <c r="T26" i="12"/>
  <c r="U26" i="12"/>
  <c r="V26" i="12"/>
  <c r="W26" i="12"/>
  <c r="X26" i="12"/>
  <c r="Y26" i="12"/>
  <c r="Z26" i="12"/>
  <c r="AA26" i="12"/>
  <c r="AB26" i="12"/>
  <c r="AC26" i="12"/>
  <c r="R27" i="12"/>
  <c r="S27" i="12"/>
  <c r="T27" i="12"/>
  <c r="U27" i="12"/>
  <c r="V27" i="12"/>
  <c r="W27" i="12"/>
  <c r="X27" i="12"/>
  <c r="Y27" i="12"/>
  <c r="Z27" i="12"/>
  <c r="AA27" i="12"/>
  <c r="AB27" i="12"/>
  <c r="AC27" i="12"/>
  <c r="R28" i="12"/>
  <c r="S28" i="12"/>
  <c r="T28" i="12"/>
  <c r="U28" i="12"/>
  <c r="V28" i="12"/>
  <c r="W28" i="12"/>
  <c r="X28" i="12"/>
  <c r="Y28" i="12"/>
  <c r="Z28" i="12"/>
  <c r="AA28" i="12"/>
  <c r="AB28" i="12"/>
  <c r="AC28" i="12"/>
  <c r="R29" i="12"/>
  <c r="S29" i="12"/>
  <c r="T29" i="12"/>
  <c r="U29" i="12"/>
  <c r="V29" i="12"/>
  <c r="W29" i="12"/>
  <c r="X29" i="12"/>
  <c r="Y29" i="12"/>
  <c r="Z29" i="12"/>
  <c r="AA29" i="12"/>
  <c r="AB29" i="12"/>
  <c r="AC29" i="12"/>
  <c r="R30" i="12"/>
  <c r="S30" i="12"/>
  <c r="T30" i="12"/>
  <c r="U30" i="12"/>
  <c r="V30" i="12"/>
  <c r="W30" i="12"/>
  <c r="X30" i="12"/>
  <c r="Y30" i="12"/>
  <c r="Z30" i="12"/>
  <c r="AA30" i="12"/>
  <c r="AB30" i="12"/>
  <c r="AC30" i="12"/>
  <c r="R31" i="12"/>
  <c r="S31" i="12"/>
  <c r="T31" i="12"/>
  <c r="U31" i="12"/>
  <c r="V31" i="12"/>
  <c r="W31" i="12"/>
  <c r="X31" i="12"/>
  <c r="Y31" i="12"/>
  <c r="Z31" i="12"/>
  <c r="AA31" i="12"/>
  <c r="AB31" i="12"/>
  <c r="AC31" i="12"/>
  <c r="R32" i="12"/>
  <c r="S32" i="12"/>
  <c r="T32" i="12"/>
  <c r="U32" i="12"/>
  <c r="V32" i="12"/>
  <c r="W32" i="12"/>
  <c r="X32" i="12"/>
  <c r="Y32" i="12"/>
  <c r="Z32" i="12"/>
  <c r="AA32" i="12"/>
  <c r="AB32" i="12"/>
  <c r="AC32" i="12"/>
  <c r="P3" i="12"/>
  <c r="Q3" i="12"/>
  <c r="P4" i="12"/>
  <c r="Q4" i="12"/>
  <c r="P5" i="12"/>
  <c r="Q5" i="12"/>
  <c r="P6" i="12"/>
  <c r="Q6" i="12"/>
  <c r="P7" i="12"/>
  <c r="Q7" i="12"/>
  <c r="P8" i="12"/>
  <c r="Q8" i="12"/>
  <c r="P9" i="12"/>
  <c r="Q9" i="12"/>
  <c r="P10" i="12"/>
  <c r="Q10" i="12"/>
  <c r="P11" i="12"/>
  <c r="Q11" i="12"/>
  <c r="P12" i="12"/>
  <c r="Q12" i="12"/>
  <c r="P13" i="12"/>
  <c r="Q13" i="12"/>
  <c r="P14" i="12"/>
  <c r="Q14" i="12"/>
  <c r="P15" i="12"/>
  <c r="Q15" i="12"/>
  <c r="P16" i="12"/>
  <c r="Q16" i="12"/>
  <c r="P17" i="12"/>
  <c r="Q17" i="12"/>
  <c r="P18" i="12"/>
  <c r="Q18" i="12"/>
  <c r="P19" i="12"/>
  <c r="Q19" i="12"/>
  <c r="P20" i="12"/>
  <c r="Q20" i="12"/>
  <c r="P21" i="12"/>
  <c r="Q21" i="12"/>
  <c r="P22" i="12"/>
  <c r="Q22" i="12"/>
  <c r="P23" i="12"/>
  <c r="Q23" i="12"/>
  <c r="P24" i="12"/>
  <c r="Q24" i="12"/>
  <c r="P25" i="12"/>
  <c r="Q25" i="12"/>
  <c r="P26" i="12"/>
  <c r="Q26" i="12"/>
  <c r="P27" i="12"/>
  <c r="Q27" i="12"/>
  <c r="P28" i="12"/>
  <c r="Q28" i="12"/>
  <c r="P29" i="12"/>
  <c r="Q29" i="12"/>
  <c r="P30" i="12"/>
  <c r="Q30" i="12"/>
  <c r="P31" i="12"/>
  <c r="Q31" i="12"/>
  <c r="P32" i="12"/>
  <c r="Q32" i="12"/>
  <c r="O3" i="12"/>
  <c r="O4" i="12"/>
  <c r="O5" i="12"/>
  <c r="O6" i="12"/>
  <c r="O7"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 i="12"/>
  <c r="D9" i="12"/>
  <c r="D10" i="12"/>
  <c r="D11" i="12"/>
  <c r="D12" i="12"/>
  <c r="D13" i="12"/>
  <c r="D14" i="12"/>
  <c r="D15" i="12"/>
  <c r="D16" i="12"/>
  <c r="D17" i="12"/>
  <c r="D18" i="12"/>
  <c r="D19" i="12"/>
  <c r="D20" i="12"/>
  <c r="D21" i="12"/>
  <c r="D22" i="12"/>
  <c r="D23" i="12"/>
  <c r="D24" i="12"/>
  <c r="D25" i="12"/>
  <c r="D26" i="12"/>
  <c r="D27" i="12"/>
  <c r="D28" i="12"/>
  <c r="D29" i="12"/>
  <c r="D30" i="12"/>
  <c r="D31" i="12"/>
  <c r="D32" i="12"/>
  <c r="D3" i="12"/>
  <c r="D4" i="12"/>
  <c r="D5" i="12"/>
  <c r="D6" i="12"/>
  <c r="D7" i="12"/>
  <c r="D8" i="12"/>
  <c r="E3" i="12"/>
  <c r="F3" i="12"/>
  <c r="G3" i="12"/>
  <c r="H3" i="12"/>
  <c r="I3" i="12"/>
  <c r="J3" i="12"/>
  <c r="K3" i="12"/>
  <c r="L3" i="12"/>
  <c r="M3" i="12"/>
  <c r="E4" i="12"/>
  <c r="F4" i="12"/>
  <c r="G4" i="12"/>
  <c r="H4" i="12"/>
  <c r="I4" i="12"/>
  <c r="J4" i="12"/>
  <c r="K4" i="12"/>
  <c r="L4" i="12"/>
  <c r="M4" i="12"/>
  <c r="E5" i="12"/>
  <c r="F5" i="12"/>
  <c r="G5" i="12"/>
  <c r="H5" i="12"/>
  <c r="I5" i="12"/>
  <c r="J5" i="12"/>
  <c r="K5" i="12"/>
  <c r="L5" i="12"/>
  <c r="M5" i="12"/>
  <c r="E6" i="12"/>
  <c r="F6" i="12"/>
  <c r="G6" i="12"/>
  <c r="H6" i="12"/>
  <c r="I6" i="12"/>
  <c r="J6" i="12"/>
  <c r="K6" i="12"/>
  <c r="L6" i="12"/>
  <c r="M6" i="12"/>
  <c r="E7" i="12"/>
  <c r="F7" i="12"/>
  <c r="G7" i="12"/>
  <c r="H7" i="12"/>
  <c r="I7" i="12"/>
  <c r="J7" i="12"/>
  <c r="K7" i="12"/>
  <c r="L7" i="12"/>
  <c r="M7" i="12"/>
  <c r="E8" i="12"/>
  <c r="F8" i="12"/>
  <c r="G8" i="12"/>
  <c r="H8" i="12"/>
  <c r="I8" i="12"/>
  <c r="J8" i="12"/>
  <c r="K8" i="12"/>
  <c r="L8" i="12"/>
  <c r="M8" i="12"/>
  <c r="E9" i="12"/>
  <c r="F9" i="12"/>
  <c r="G9" i="12"/>
  <c r="H9" i="12"/>
  <c r="I9" i="12"/>
  <c r="J9" i="12"/>
  <c r="K9" i="12"/>
  <c r="L9" i="12"/>
  <c r="M9" i="12"/>
  <c r="E10" i="12"/>
  <c r="F10" i="12"/>
  <c r="G10" i="12"/>
  <c r="H10" i="12"/>
  <c r="I10" i="12"/>
  <c r="J10" i="12"/>
  <c r="K10" i="12"/>
  <c r="L10" i="12"/>
  <c r="M10" i="12"/>
  <c r="E11" i="12"/>
  <c r="F11" i="12"/>
  <c r="G11" i="12"/>
  <c r="H11" i="12"/>
  <c r="I11" i="12"/>
  <c r="J11" i="12"/>
  <c r="K11" i="12"/>
  <c r="L11" i="12"/>
  <c r="M11" i="12"/>
  <c r="E12" i="12"/>
  <c r="F12" i="12"/>
  <c r="G12" i="12"/>
  <c r="H12" i="12"/>
  <c r="I12" i="12"/>
  <c r="J12" i="12"/>
  <c r="K12" i="12"/>
  <c r="L12" i="12"/>
  <c r="M12" i="12"/>
  <c r="E13" i="12"/>
  <c r="F13" i="12"/>
  <c r="G13" i="12"/>
  <c r="H13" i="12"/>
  <c r="I13" i="12"/>
  <c r="J13" i="12"/>
  <c r="K13" i="12"/>
  <c r="L13" i="12"/>
  <c r="M13" i="12"/>
  <c r="E14" i="12"/>
  <c r="F14" i="12"/>
  <c r="G14" i="12"/>
  <c r="H14" i="12"/>
  <c r="I14" i="12"/>
  <c r="J14" i="12"/>
  <c r="K14" i="12"/>
  <c r="L14" i="12"/>
  <c r="M14" i="12"/>
  <c r="E15" i="12"/>
  <c r="F15" i="12"/>
  <c r="G15" i="12"/>
  <c r="H15" i="12"/>
  <c r="I15" i="12"/>
  <c r="J15" i="12"/>
  <c r="K15" i="12"/>
  <c r="L15" i="12"/>
  <c r="M15" i="12"/>
  <c r="E16" i="12"/>
  <c r="F16" i="12"/>
  <c r="G16" i="12"/>
  <c r="H16" i="12"/>
  <c r="I16" i="12"/>
  <c r="J16" i="12"/>
  <c r="K16" i="12"/>
  <c r="L16" i="12"/>
  <c r="M16" i="12"/>
  <c r="E17" i="12"/>
  <c r="F17" i="12"/>
  <c r="G17" i="12"/>
  <c r="H17" i="12"/>
  <c r="I17" i="12"/>
  <c r="J17" i="12"/>
  <c r="K17" i="12"/>
  <c r="L17" i="12"/>
  <c r="M17" i="12"/>
  <c r="E18" i="12"/>
  <c r="F18" i="12"/>
  <c r="G18" i="12"/>
  <c r="H18" i="12"/>
  <c r="I18" i="12"/>
  <c r="J18" i="12"/>
  <c r="K18" i="12"/>
  <c r="L18" i="12"/>
  <c r="M18" i="12"/>
  <c r="E19" i="12"/>
  <c r="F19" i="12"/>
  <c r="G19" i="12"/>
  <c r="H19" i="12"/>
  <c r="I19" i="12"/>
  <c r="J19" i="12"/>
  <c r="K19" i="12"/>
  <c r="L19" i="12"/>
  <c r="M19" i="12"/>
  <c r="E20" i="12"/>
  <c r="F20" i="12"/>
  <c r="G20" i="12"/>
  <c r="H20" i="12"/>
  <c r="I20" i="12"/>
  <c r="J20" i="12"/>
  <c r="K20" i="12"/>
  <c r="L20" i="12"/>
  <c r="M20" i="12"/>
  <c r="E21" i="12"/>
  <c r="F21" i="12"/>
  <c r="G21" i="12"/>
  <c r="H21" i="12"/>
  <c r="I21" i="12"/>
  <c r="J21" i="12"/>
  <c r="K21" i="12"/>
  <c r="L21" i="12"/>
  <c r="M21" i="12"/>
  <c r="E22" i="12"/>
  <c r="F22" i="12"/>
  <c r="G22" i="12"/>
  <c r="H22" i="12"/>
  <c r="I22" i="12"/>
  <c r="J22" i="12"/>
  <c r="K22" i="12"/>
  <c r="L22" i="12"/>
  <c r="M22" i="12"/>
  <c r="E23" i="12"/>
  <c r="F23" i="12"/>
  <c r="G23" i="12"/>
  <c r="H23" i="12"/>
  <c r="I23" i="12"/>
  <c r="J23" i="12"/>
  <c r="K23" i="12"/>
  <c r="L23" i="12"/>
  <c r="M23" i="12"/>
  <c r="E24" i="12"/>
  <c r="F24" i="12"/>
  <c r="G24" i="12"/>
  <c r="H24" i="12"/>
  <c r="I24" i="12"/>
  <c r="J24" i="12"/>
  <c r="K24" i="12"/>
  <c r="L24" i="12"/>
  <c r="M24" i="12"/>
  <c r="E25" i="12"/>
  <c r="F25" i="12"/>
  <c r="G25" i="12"/>
  <c r="H25" i="12"/>
  <c r="I25" i="12"/>
  <c r="J25" i="12"/>
  <c r="K25" i="12"/>
  <c r="L25" i="12"/>
  <c r="M25" i="12"/>
  <c r="E26" i="12"/>
  <c r="F26" i="12"/>
  <c r="G26" i="12"/>
  <c r="H26" i="12"/>
  <c r="I26" i="12"/>
  <c r="J26" i="12"/>
  <c r="K26" i="12"/>
  <c r="L26" i="12"/>
  <c r="M26" i="12"/>
  <c r="E27" i="12"/>
  <c r="F27" i="12"/>
  <c r="G27" i="12"/>
  <c r="H27" i="12"/>
  <c r="I27" i="12"/>
  <c r="J27" i="12"/>
  <c r="K27" i="12"/>
  <c r="L27" i="12"/>
  <c r="M27" i="12"/>
  <c r="E28" i="12"/>
  <c r="F28" i="12"/>
  <c r="G28" i="12"/>
  <c r="H28" i="12"/>
  <c r="I28" i="12"/>
  <c r="J28" i="12"/>
  <c r="K28" i="12"/>
  <c r="L28" i="12"/>
  <c r="M28" i="12"/>
  <c r="E29" i="12"/>
  <c r="F29" i="12"/>
  <c r="G29" i="12"/>
  <c r="H29" i="12"/>
  <c r="I29" i="12"/>
  <c r="J29" i="12"/>
  <c r="K29" i="12"/>
  <c r="L29" i="12"/>
  <c r="M29" i="12"/>
  <c r="E30" i="12"/>
  <c r="F30" i="12"/>
  <c r="G30" i="12"/>
  <c r="H30" i="12"/>
  <c r="I30" i="12"/>
  <c r="J30" i="12"/>
  <c r="K30" i="12"/>
  <c r="L30" i="12"/>
  <c r="M30" i="12"/>
  <c r="E31" i="12"/>
  <c r="F31" i="12"/>
  <c r="G31" i="12"/>
  <c r="H31" i="12"/>
  <c r="I31" i="12"/>
  <c r="J31" i="12"/>
  <c r="K31" i="12"/>
  <c r="L31" i="12"/>
  <c r="M31" i="12"/>
  <c r="E32" i="12"/>
  <c r="F32" i="12"/>
  <c r="G32" i="12"/>
  <c r="H32" i="12"/>
  <c r="I32" i="12"/>
  <c r="J32" i="12"/>
  <c r="K32" i="12"/>
  <c r="L32" i="12"/>
  <c r="M32" i="12"/>
  <c r="B3" i="12"/>
  <c r="C3" i="12"/>
  <c r="B4" i="12"/>
  <c r="C4" i="12"/>
  <c r="B5" i="12"/>
  <c r="C5" i="12"/>
  <c r="B6" i="12"/>
  <c r="C6" i="12"/>
  <c r="B7" i="12"/>
  <c r="C7" i="12"/>
  <c r="B8" i="12"/>
  <c r="C8" i="12"/>
  <c r="B9" i="12"/>
  <c r="C9" i="12"/>
  <c r="B10" i="12"/>
  <c r="C10" i="12"/>
  <c r="B11" i="12"/>
  <c r="C11" i="12"/>
  <c r="B12" i="12"/>
  <c r="C12" i="12"/>
  <c r="B13" i="12"/>
  <c r="C13" i="12"/>
  <c r="B14" i="12"/>
  <c r="C14" i="12"/>
  <c r="B15" i="12"/>
  <c r="C15" i="12"/>
  <c r="B16" i="12"/>
  <c r="C16" i="12"/>
  <c r="B17" i="12"/>
  <c r="C17" i="12"/>
  <c r="B18" i="12"/>
  <c r="C18" i="12"/>
  <c r="B19" i="12"/>
  <c r="C19" i="12"/>
  <c r="B20" i="12"/>
  <c r="C20" i="12"/>
  <c r="B21" i="12"/>
  <c r="C21" i="12"/>
  <c r="B22" i="12"/>
  <c r="C22" i="12"/>
  <c r="B23" i="12"/>
  <c r="C23" i="12"/>
  <c r="B24" i="12"/>
  <c r="C24" i="12"/>
  <c r="B25" i="12"/>
  <c r="C25" i="12"/>
  <c r="B26" i="12"/>
  <c r="C26" i="12"/>
  <c r="B27" i="12"/>
  <c r="C27" i="12"/>
  <c r="B28" i="12"/>
  <c r="C28" i="12"/>
  <c r="B29" i="12"/>
  <c r="C29" i="12"/>
  <c r="B30" i="12"/>
  <c r="C30" i="12"/>
  <c r="B31" i="12"/>
  <c r="C31" i="12"/>
  <c r="B32" i="12"/>
  <c r="C32" i="12"/>
  <c r="C43" i="12"/>
  <c r="D43" i="12"/>
  <c r="E43" i="12"/>
  <c r="F43" i="12"/>
  <c r="G43" i="12"/>
  <c r="H43" i="12"/>
  <c r="I43" i="12"/>
  <c r="J43" i="12"/>
  <c r="K43" i="12"/>
  <c r="L43" i="12"/>
  <c r="M43" i="12"/>
  <c r="N43" i="12"/>
  <c r="O43" i="12"/>
  <c r="P43" i="12"/>
  <c r="Q43" i="12"/>
  <c r="T43" i="12"/>
  <c r="U43" i="12"/>
  <c r="V43" i="12"/>
  <c r="W43" i="12"/>
  <c r="X43" i="12"/>
  <c r="Y43" i="12"/>
  <c r="Z43" i="12"/>
  <c r="AA43" i="12"/>
  <c r="AB43" i="12"/>
  <c r="AC43" i="12"/>
  <c r="B43" i="12"/>
  <c r="C42" i="12"/>
  <c r="D42" i="12"/>
  <c r="E42" i="12"/>
  <c r="F42" i="12"/>
  <c r="G42" i="12"/>
  <c r="H42" i="12"/>
  <c r="I42" i="12"/>
  <c r="J42" i="12"/>
  <c r="K42" i="12"/>
  <c r="L42" i="12"/>
  <c r="M42" i="12"/>
  <c r="N42" i="12"/>
  <c r="O42" i="12"/>
  <c r="P42" i="12"/>
  <c r="Q42" i="12"/>
  <c r="T42" i="12"/>
  <c r="U42" i="12"/>
  <c r="V42" i="12"/>
  <c r="W42" i="12"/>
  <c r="X42" i="12"/>
  <c r="Y42" i="12"/>
  <c r="Z42" i="12"/>
  <c r="AA42" i="12"/>
  <c r="AB42" i="12"/>
  <c r="AC42" i="12"/>
  <c r="B42" i="12"/>
  <c r="J540" i="3" l="1"/>
  <c r="J538" i="3"/>
  <c r="J536" i="3"/>
  <c r="J534" i="3"/>
  <c r="J532" i="3"/>
  <c r="J530" i="3"/>
  <c r="J528" i="3"/>
  <c r="J526" i="3"/>
  <c r="J524" i="3"/>
  <c r="J522" i="3"/>
  <c r="J520" i="3"/>
  <c r="J518" i="3"/>
  <c r="J516" i="3"/>
  <c r="J514" i="3"/>
  <c r="J512" i="3"/>
  <c r="J510" i="3"/>
  <c r="J508" i="3"/>
  <c r="J506" i="3"/>
  <c r="J504" i="3"/>
  <c r="J502" i="3"/>
  <c r="J500" i="3"/>
  <c r="J498" i="3"/>
  <c r="J496" i="3"/>
  <c r="J494" i="3"/>
  <c r="J492" i="3"/>
  <c r="J490" i="3"/>
  <c r="J488" i="3"/>
  <c r="J486" i="3"/>
  <c r="J484" i="3"/>
  <c r="J482" i="3"/>
  <c r="J480" i="3"/>
  <c r="J478" i="3"/>
  <c r="J476" i="3"/>
  <c r="J474" i="3"/>
  <c r="J472" i="3"/>
  <c r="J470" i="3"/>
  <c r="J468" i="3"/>
  <c r="J466" i="3"/>
  <c r="J464" i="3"/>
  <c r="J462" i="3"/>
  <c r="J460" i="3"/>
  <c r="J458" i="3"/>
  <c r="J456" i="3"/>
  <c r="J454" i="3"/>
  <c r="J452" i="3"/>
  <c r="J450" i="3"/>
  <c r="J448" i="3"/>
  <c r="J446" i="3"/>
  <c r="J444" i="3"/>
  <c r="J442" i="3"/>
  <c r="J440" i="3"/>
  <c r="J438" i="3"/>
  <c r="J436" i="3"/>
  <c r="J434" i="3"/>
  <c r="J432" i="3"/>
  <c r="J430" i="3"/>
  <c r="J428" i="3"/>
  <c r="J426" i="3"/>
  <c r="J424" i="3"/>
  <c r="J422" i="3"/>
  <c r="J420" i="3"/>
  <c r="J418" i="3"/>
  <c r="J416" i="3"/>
  <c r="J414" i="3"/>
  <c r="J412" i="3"/>
  <c r="J410" i="3"/>
  <c r="J408" i="3"/>
  <c r="J406" i="3"/>
  <c r="J404" i="3"/>
  <c r="J402" i="3"/>
  <c r="J400" i="3"/>
  <c r="J398" i="3"/>
  <c r="J396" i="3"/>
  <c r="J394" i="3"/>
  <c r="J392" i="3"/>
  <c r="J390" i="3"/>
  <c r="J388" i="3"/>
  <c r="J386" i="3"/>
  <c r="J384" i="3"/>
  <c r="J382" i="3"/>
  <c r="J380" i="3"/>
  <c r="J378" i="3"/>
  <c r="J376" i="3"/>
  <c r="J374" i="3"/>
  <c r="J372" i="3"/>
  <c r="J370" i="3"/>
  <c r="J368" i="3"/>
  <c r="J366" i="3"/>
  <c r="J364" i="3"/>
  <c r="J362" i="3"/>
  <c r="J360" i="3"/>
  <c r="J358" i="3"/>
  <c r="J356" i="3"/>
  <c r="J354" i="3"/>
  <c r="J352" i="3"/>
  <c r="J350" i="3"/>
  <c r="J348" i="3"/>
  <c r="J346" i="3"/>
  <c r="J344" i="3"/>
  <c r="J342" i="3"/>
  <c r="J340" i="3"/>
  <c r="J338" i="3"/>
  <c r="J336" i="3"/>
  <c r="J334" i="3"/>
  <c r="J332" i="3"/>
  <c r="J330" i="3"/>
  <c r="J328" i="3"/>
  <c r="J326" i="3"/>
  <c r="J324" i="3"/>
  <c r="J322" i="3"/>
  <c r="J320" i="3"/>
  <c r="J318" i="3"/>
  <c r="J316" i="3"/>
  <c r="J314" i="3"/>
  <c r="J312" i="3"/>
  <c r="J310" i="3"/>
  <c r="J308" i="3"/>
  <c r="J306" i="3"/>
  <c r="J304" i="3"/>
  <c r="J302" i="3"/>
  <c r="J300" i="3"/>
  <c r="J298" i="3"/>
  <c r="J296" i="3"/>
  <c r="J294" i="3"/>
  <c r="J292" i="3"/>
  <c r="J290" i="3"/>
  <c r="J288" i="3"/>
  <c r="J286" i="3"/>
  <c r="J284" i="3"/>
  <c r="J282" i="3"/>
  <c r="J280" i="3"/>
  <c r="J278" i="3"/>
  <c r="J276" i="3"/>
  <c r="J274" i="3"/>
  <c r="J272" i="3"/>
  <c r="J270" i="3"/>
  <c r="J268" i="3"/>
  <c r="J266" i="3"/>
  <c r="J264" i="3"/>
  <c r="J262" i="3"/>
  <c r="J260" i="3"/>
  <c r="J258" i="3"/>
  <c r="J256" i="3"/>
  <c r="J254" i="3"/>
  <c r="J252" i="3"/>
  <c r="J250" i="3"/>
  <c r="J248" i="3"/>
  <c r="J246" i="3"/>
  <c r="J244" i="3"/>
  <c r="J242" i="3"/>
  <c r="J240" i="3"/>
  <c r="J238" i="3"/>
  <c r="J236" i="3"/>
  <c r="J234" i="3"/>
  <c r="J232" i="3"/>
  <c r="J230" i="3"/>
  <c r="J228" i="3"/>
  <c r="J226" i="3"/>
  <c r="J224" i="3"/>
  <c r="J222" i="3"/>
  <c r="J220" i="3"/>
  <c r="J218" i="3"/>
  <c r="J216" i="3"/>
  <c r="J214" i="3"/>
  <c r="J212" i="3"/>
  <c r="J210" i="3"/>
  <c r="J208" i="3"/>
  <c r="J206" i="3"/>
  <c r="J204" i="3"/>
  <c r="J202" i="3"/>
  <c r="J200" i="3"/>
  <c r="J198" i="3"/>
  <c r="J196" i="3"/>
  <c r="J194" i="3"/>
  <c r="J192" i="3"/>
  <c r="J190" i="3"/>
  <c r="J188" i="3"/>
  <c r="J186" i="3"/>
  <c r="J184" i="3"/>
  <c r="J182" i="3"/>
  <c r="J180" i="3"/>
  <c r="J178" i="3"/>
  <c r="J176" i="3"/>
  <c r="J174" i="3"/>
  <c r="J172" i="3"/>
  <c r="J170" i="3"/>
  <c r="J168" i="3"/>
  <c r="J166" i="3"/>
  <c r="J164" i="3"/>
  <c r="J162" i="3"/>
  <c r="J160" i="3"/>
  <c r="J158" i="3"/>
  <c r="J156" i="3"/>
  <c r="J154" i="3"/>
  <c r="J152" i="3"/>
  <c r="J150" i="3"/>
  <c r="J148" i="3"/>
  <c r="J146" i="3"/>
  <c r="J144" i="3"/>
  <c r="J142" i="3"/>
  <c r="J140" i="3"/>
  <c r="J138" i="3"/>
  <c r="J136" i="3"/>
  <c r="J134" i="3"/>
  <c r="J132" i="3"/>
  <c r="J130" i="3"/>
  <c r="J128" i="3"/>
  <c r="J126" i="3"/>
  <c r="J124" i="3"/>
  <c r="J122" i="3"/>
  <c r="J120" i="3"/>
  <c r="J118" i="3"/>
  <c r="J116" i="3"/>
  <c r="J114" i="3"/>
  <c r="J112" i="3"/>
  <c r="J110" i="3"/>
  <c r="J108" i="3"/>
  <c r="J106" i="3"/>
  <c r="J104" i="3"/>
  <c r="J102" i="3"/>
  <c r="J100" i="3"/>
  <c r="J98" i="3"/>
  <c r="J96" i="3"/>
  <c r="J94" i="3"/>
  <c r="J92" i="3"/>
  <c r="J90" i="3"/>
  <c r="J88" i="3"/>
  <c r="J86" i="3"/>
  <c r="J84" i="3"/>
  <c r="J82" i="3"/>
  <c r="J80" i="3"/>
  <c r="J78" i="3"/>
  <c r="J76" i="3"/>
  <c r="J74" i="3"/>
  <c r="J72" i="3"/>
  <c r="J70" i="3"/>
  <c r="J68" i="3"/>
  <c r="J66" i="3"/>
  <c r="J64" i="3"/>
  <c r="J62" i="3"/>
  <c r="J60" i="3"/>
  <c r="J58" i="3"/>
  <c r="J56" i="3"/>
  <c r="F31" i="7"/>
  <c r="E31" i="7"/>
  <c r="F30" i="7"/>
  <c r="E30" i="7"/>
  <c r="F29" i="7"/>
  <c r="E29" i="7"/>
  <c r="F28" i="7"/>
  <c r="E28" i="7"/>
  <c r="F27" i="7"/>
  <c r="E27" i="7"/>
  <c r="F26" i="7"/>
  <c r="E26" i="7"/>
  <c r="F25" i="7"/>
  <c r="E25" i="7"/>
  <c r="F24" i="7"/>
  <c r="E24" i="7"/>
  <c r="F23" i="7"/>
  <c r="E23" i="7"/>
  <c r="F22" i="7"/>
  <c r="E22" i="7"/>
  <c r="F21" i="7"/>
  <c r="E21" i="7"/>
  <c r="F20" i="7"/>
  <c r="E20" i="7"/>
  <c r="F19" i="7"/>
  <c r="E19" i="7"/>
  <c r="F18" i="7"/>
  <c r="E18" i="7"/>
  <c r="F17" i="7"/>
  <c r="E17" i="7"/>
  <c r="F16" i="7"/>
  <c r="E16" i="7"/>
  <c r="F15" i="7"/>
  <c r="E15" i="7"/>
  <c r="F14" i="7"/>
  <c r="E14" i="7"/>
  <c r="F13" i="7"/>
  <c r="E13" i="7"/>
  <c r="F12" i="7"/>
  <c r="E12" i="7"/>
  <c r="F11" i="7"/>
  <c r="E11" i="7"/>
  <c r="F10" i="7"/>
  <c r="E10" i="7"/>
  <c r="F9" i="7"/>
  <c r="E9" i="7"/>
  <c r="F8" i="7"/>
  <c r="E8" i="7"/>
  <c r="F7" i="7"/>
  <c r="E7" i="7"/>
  <c r="F6" i="7"/>
  <c r="E6" i="7"/>
  <c r="F5" i="7"/>
  <c r="E5" i="7"/>
  <c r="F4" i="7"/>
  <c r="E4" i="7"/>
  <c r="F3" i="7"/>
  <c r="E3" i="7"/>
  <c r="F2" i="7"/>
  <c r="E2" i="7"/>
  <c r="AE180" i="16"/>
  <c r="AC180" i="16"/>
  <c r="M180" i="16"/>
  <c r="AE179" i="16"/>
  <c r="AC179" i="16"/>
  <c r="AE178" i="16"/>
  <c r="AC178" i="16"/>
  <c r="M178" i="16"/>
  <c r="AE177" i="16"/>
  <c r="AC177" i="16"/>
  <c r="AE176" i="16"/>
  <c r="AC176" i="16"/>
  <c r="M176" i="16"/>
  <c r="AE175" i="16"/>
  <c r="AC175" i="16"/>
  <c r="AE174" i="16"/>
  <c r="AC174" i="16"/>
  <c r="M174" i="16"/>
  <c r="AE173" i="16"/>
  <c r="AC173" i="16"/>
  <c r="AE172" i="16"/>
  <c r="AC172" i="16"/>
  <c r="M172" i="16"/>
  <c r="AE171" i="16"/>
  <c r="AC171" i="16"/>
  <c r="AE170" i="16"/>
  <c r="AC170" i="16"/>
  <c r="M170" i="16"/>
  <c r="AE169" i="16"/>
  <c r="AC169" i="16"/>
  <c r="AE168" i="16"/>
  <c r="AC168" i="16"/>
  <c r="M168" i="16"/>
  <c r="AE167" i="16"/>
  <c r="AC167" i="16"/>
  <c r="AE166" i="16"/>
  <c r="AC166" i="16"/>
  <c r="M166" i="16"/>
  <c r="AE165" i="16"/>
  <c r="AC165" i="16"/>
  <c r="AE164" i="16"/>
  <c r="AC164" i="16"/>
  <c r="M164" i="16"/>
  <c r="AE163" i="16"/>
  <c r="AC163" i="16"/>
  <c r="AE162" i="16"/>
  <c r="AC162" i="16"/>
  <c r="M162" i="16"/>
  <c r="AE161" i="16"/>
  <c r="AC161" i="16"/>
  <c r="AE160" i="16"/>
  <c r="AC160" i="16"/>
  <c r="M160" i="16"/>
  <c r="AE159" i="16"/>
  <c r="AC159" i="16"/>
  <c r="AE158" i="16"/>
  <c r="AC158" i="16"/>
  <c r="M158" i="16"/>
  <c r="AE157" i="16"/>
  <c r="AC157" i="16"/>
  <c r="AE156" i="16"/>
  <c r="AC156" i="16"/>
  <c r="M156" i="16"/>
  <c r="AE155" i="16"/>
  <c r="AC155" i="16"/>
  <c r="AE154" i="16"/>
  <c r="AC154" i="16"/>
  <c r="M154" i="16"/>
  <c r="AE153" i="16"/>
  <c r="AC153" i="16"/>
  <c r="AE152" i="16"/>
  <c r="AC152" i="16"/>
  <c r="M152" i="16"/>
  <c r="AE151" i="16"/>
  <c r="AC151" i="16"/>
  <c r="AE150" i="16"/>
  <c r="AC150" i="16"/>
  <c r="M150" i="16"/>
  <c r="AE149" i="16"/>
  <c r="AC149" i="16"/>
  <c r="AE148" i="16"/>
  <c r="AC148" i="16"/>
  <c r="M148" i="16"/>
  <c r="AE147" i="16"/>
  <c r="AC147" i="16"/>
  <c r="AE146" i="16"/>
  <c r="AC146" i="16"/>
  <c r="M146" i="16"/>
  <c r="AE145" i="16"/>
  <c r="AC145" i="16"/>
  <c r="AE144" i="16"/>
  <c r="AC144" i="16"/>
  <c r="M144" i="16"/>
  <c r="AE143" i="16"/>
  <c r="AC143" i="16"/>
  <c r="AE142" i="16"/>
  <c r="AC142" i="16"/>
  <c r="M142" i="16"/>
  <c r="AE141" i="16"/>
  <c r="AC141" i="16"/>
  <c r="AE140" i="16"/>
  <c r="AC140" i="16"/>
  <c r="M140" i="16"/>
  <c r="AE139" i="16"/>
  <c r="AC139" i="16"/>
  <c r="AE138" i="16"/>
  <c r="AC138" i="16"/>
  <c r="M138" i="16"/>
  <c r="AE137" i="16"/>
  <c r="AC137" i="16"/>
  <c r="AE136" i="16"/>
  <c r="AC136" i="16"/>
  <c r="M136" i="16"/>
  <c r="AE135" i="16"/>
  <c r="AC135" i="16"/>
  <c r="AE134" i="16"/>
  <c r="AC134" i="16"/>
  <c r="M134" i="16"/>
  <c r="AE133" i="16"/>
  <c r="AC133" i="16"/>
  <c r="AE132" i="16"/>
  <c r="AC132" i="16"/>
  <c r="M132" i="16"/>
  <c r="AE131" i="16"/>
  <c r="AC131" i="16"/>
  <c r="AE130" i="16"/>
  <c r="AC130" i="16"/>
  <c r="M130" i="16"/>
  <c r="AE129" i="16"/>
  <c r="AC129" i="16"/>
  <c r="AE128" i="16"/>
  <c r="AC128" i="16"/>
  <c r="M128" i="16"/>
  <c r="AE127" i="16"/>
  <c r="AC127" i="16"/>
  <c r="AE126" i="16"/>
  <c r="AC126" i="16"/>
  <c r="M126" i="16"/>
  <c r="AE125" i="16"/>
  <c r="AC125" i="16"/>
  <c r="AE124" i="16"/>
  <c r="AC124" i="16"/>
  <c r="M124" i="16"/>
  <c r="AE123" i="16"/>
  <c r="AC123" i="16"/>
  <c r="AE122" i="16"/>
  <c r="AC122" i="16"/>
  <c r="M122" i="16"/>
  <c r="AE121" i="16"/>
  <c r="AC121" i="16"/>
  <c r="AE120" i="16"/>
  <c r="AC120" i="16"/>
  <c r="M120" i="16"/>
  <c r="AE119" i="16"/>
  <c r="AC119" i="16"/>
  <c r="AE118" i="16"/>
  <c r="AC118" i="16"/>
  <c r="M118" i="16"/>
  <c r="AE117" i="16"/>
  <c r="AC117" i="16"/>
  <c r="AE116" i="16"/>
  <c r="AC116" i="16"/>
  <c r="M116" i="16"/>
  <c r="AE115" i="16"/>
  <c r="AC115" i="16"/>
  <c r="AE114" i="16"/>
  <c r="AC114" i="16"/>
  <c r="M114" i="16"/>
  <c r="AE113" i="16"/>
  <c r="AC113" i="16"/>
  <c r="AE112" i="16"/>
  <c r="AC112" i="16"/>
  <c r="M112" i="16"/>
  <c r="AE111" i="16"/>
  <c r="AC111" i="16"/>
  <c r="AE110" i="16"/>
  <c r="AC110" i="16"/>
  <c r="M110" i="16"/>
  <c r="AE109" i="16"/>
  <c r="AC109" i="16"/>
  <c r="AE108" i="16"/>
  <c r="AC108" i="16"/>
  <c r="M108" i="16"/>
  <c r="AE107" i="16"/>
  <c r="AC107" i="16"/>
  <c r="AE106" i="16"/>
  <c r="AC106" i="16"/>
  <c r="M106" i="16"/>
  <c r="AE105" i="16"/>
  <c r="AC105" i="16"/>
  <c r="AE104" i="16"/>
  <c r="AC104" i="16"/>
  <c r="M104" i="16"/>
  <c r="AE103" i="16"/>
  <c r="AC103" i="16"/>
  <c r="AE102" i="16"/>
  <c r="AC102" i="16"/>
  <c r="M102" i="16"/>
  <c r="AE101" i="16"/>
  <c r="AC101" i="16"/>
  <c r="AE100" i="16"/>
  <c r="AC100" i="16"/>
  <c r="M100" i="16"/>
  <c r="AE99" i="16"/>
  <c r="AC99" i="16"/>
  <c r="AE98" i="16"/>
  <c r="AC98" i="16"/>
  <c r="M98" i="16"/>
  <c r="AE97" i="16"/>
  <c r="AC97" i="16"/>
  <c r="AE96" i="16"/>
  <c r="AC96" i="16"/>
  <c r="M96" i="16"/>
  <c r="AE95" i="16"/>
  <c r="AC95" i="16"/>
  <c r="AE94" i="16"/>
  <c r="AC94" i="16"/>
  <c r="M94" i="16"/>
  <c r="AE93" i="16"/>
  <c r="AC93" i="16"/>
  <c r="AE92" i="16"/>
  <c r="AC92" i="16"/>
  <c r="M92" i="16"/>
  <c r="AE91" i="16"/>
  <c r="AC91" i="16"/>
  <c r="AE90" i="16"/>
  <c r="AC90" i="16"/>
  <c r="M90" i="16"/>
  <c r="AE89" i="16"/>
  <c r="AC89" i="16"/>
  <c r="AE88" i="16"/>
  <c r="AC88" i="16"/>
  <c r="M88" i="16"/>
  <c r="AE87" i="16"/>
  <c r="AC87" i="16"/>
  <c r="AE86" i="16"/>
  <c r="AC86" i="16"/>
  <c r="M86" i="16"/>
  <c r="AE85" i="16"/>
  <c r="AC85" i="16"/>
  <c r="AE84" i="16"/>
  <c r="AC84" i="16"/>
  <c r="M84" i="16"/>
  <c r="AE83" i="16"/>
  <c r="AC83" i="16"/>
  <c r="AE82" i="16"/>
  <c r="AC82" i="16"/>
  <c r="M82" i="16"/>
  <c r="AE81" i="16"/>
  <c r="AC81" i="16"/>
  <c r="AE80" i="16"/>
  <c r="AC80" i="16"/>
  <c r="M80" i="16"/>
  <c r="AE79" i="16"/>
  <c r="AC79" i="16"/>
  <c r="AE78" i="16"/>
  <c r="AC78" i="16"/>
  <c r="M78" i="16"/>
  <c r="AE77" i="16"/>
  <c r="AC77" i="16"/>
  <c r="AE76" i="16"/>
  <c r="AC76" i="16"/>
  <c r="M76" i="16"/>
  <c r="AE75" i="16"/>
  <c r="AC75" i="16"/>
  <c r="AE74" i="16"/>
  <c r="AC74" i="16"/>
  <c r="M74" i="16"/>
  <c r="AE73" i="16"/>
  <c r="AC73" i="16"/>
  <c r="AE72" i="16"/>
  <c r="AC72" i="16"/>
  <c r="M72" i="16"/>
  <c r="AE71" i="16"/>
  <c r="AC71" i="16"/>
  <c r="AE70" i="16"/>
  <c r="AC70" i="16"/>
  <c r="M70" i="16"/>
  <c r="AE69" i="16"/>
  <c r="AC69" i="16"/>
  <c r="AE68" i="16"/>
  <c r="AC68" i="16"/>
  <c r="M68" i="16"/>
  <c r="AE67" i="16"/>
  <c r="AC67" i="16"/>
  <c r="AE66" i="16"/>
  <c r="AC66" i="16"/>
  <c r="M66" i="16"/>
  <c r="AE65" i="16"/>
  <c r="AC65" i="16"/>
  <c r="AE64" i="16"/>
  <c r="AC64" i="16"/>
  <c r="M64" i="16"/>
  <c r="AE63" i="16"/>
  <c r="AC63" i="16"/>
  <c r="AE62" i="16"/>
  <c r="AC62" i="16"/>
  <c r="M62" i="16"/>
  <c r="AE61" i="16"/>
  <c r="AC61" i="16"/>
  <c r="AE60" i="16"/>
  <c r="AC60" i="16"/>
  <c r="M60" i="16"/>
  <c r="AE59" i="16"/>
  <c r="AC59" i="16"/>
  <c r="AE58" i="16"/>
  <c r="AC58" i="16"/>
  <c r="M58" i="16"/>
  <c r="AE57" i="16"/>
  <c r="AC57" i="16"/>
  <c r="AE56" i="16"/>
  <c r="AC56" i="16"/>
  <c r="M56" i="16"/>
  <c r="AE55" i="16"/>
  <c r="AC55" i="16"/>
  <c r="AE54" i="16"/>
  <c r="AC54" i="16"/>
  <c r="M54" i="16"/>
  <c r="AE53" i="16"/>
  <c r="AC53" i="16"/>
  <c r="AE52" i="16"/>
  <c r="AC52" i="16"/>
  <c r="M52" i="16"/>
  <c r="AE51" i="16"/>
  <c r="AC51" i="16"/>
  <c r="AE50" i="16"/>
  <c r="AC50" i="16"/>
  <c r="M50" i="16"/>
  <c r="AE49" i="16"/>
  <c r="AC49" i="16"/>
  <c r="AE48" i="16"/>
  <c r="AC48" i="16"/>
  <c r="M48" i="16"/>
  <c r="AE47" i="16"/>
  <c r="AC47" i="16"/>
  <c r="AE46" i="16"/>
  <c r="AC46" i="16"/>
  <c r="M46" i="16"/>
  <c r="AE45" i="16"/>
  <c r="AC45" i="16"/>
  <c r="AE44" i="16"/>
  <c r="AC44" i="16"/>
  <c r="M44" i="16"/>
  <c r="AE43" i="16"/>
  <c r="AC43" i="16"/>
  <c r="AE42" i="16"/>
  <c r="AC42" i="16"/>
  <c r="M42" i="16"/>
  <c r="AE41" i="16"/>
  <c r="AC41" i="16"/>
  <c r="AE40" i="16"/>
  <c r="AC40" i="16"/>
  <c r="M40" i="16"/>
  <c r="AE39" i="16"/>
  <c r="AC39" i="16"/>
  <c r="AE38" i="16"/>
  <c r="AC38" i="16"/>
  <c r="M38" i="16"/>
  <c r="AE37" i="16"/>
  <c r="AC37" i="16"/>
  <c r="AE36" i="16"/>
  <c r="AC36" i="16"/>
  <c r="M36" i="16"/>
  <c r="AE35" i="16"/>
  <c r="AC35" i="16"/>
  <c r="AE34" i="16"/>
  <c r="AC34" i="16"/>
  <c r="M34" i="16"/>
  <c r="AE33" i="16"/>
  <c r="AC33" i="16"/>
  <c r="AE32" i="16"/>
  <c r="AC32" i="16"/>
  <c r="M32" i="16"/>
  <c r="AE31" i="16"/>
  <c r="AC31" i="16"/>
  <c r="AE30" i="16"/>
  <c r="AC30" i="16"/>
  <c r="M30" i="16"/>
  <c r="AE29" i="16"/>
  <c r="AC29" i="16"/>
  <c r="AE28" i="16"/>
  <c r="AC28" i="16"/>
  <c r="M28" i="16"/>
  <c r="AE27" i="16"/>
  <c r="AC27" i="16"/>
  <c r="AE26" i="16"/>
  <c r="AC26" i="16"/>
  <c r="M26" i="16"/>
  <c r="AE25" i="16"/>
  <c r="AC25" i="16"/>
  <c r="AE24" i="16"/>
  <c r="AC24" i="16"/>
  <c r="M24" i="16"/>
  <c r="AE23" i="16"/>
  <c r="AC23" i="16"/>
  <c r="AE22" i="16"/>
  <c r="AC22" i="16"/>
  <c r="M22" i="16"/>
  <c r="AE21" i="16"/>
  <c r="AC21" i="16"/>
  <c r="AE20" i="16"/>
  <c r="AC20" i="16"/>
  <c r="M20" i="16"/>
  <c r="AE19" i="16"/>
  <c r="AC19" i="16"/>
  <c r="AE18" i="16"/>
  <c r="AC18" i="16"/>
  <c r="M18" i="16"/>
  <c r="AE17" i="16"/>
  <c r="AC17" i="16"/>
  <c r="AE16" i="16"/>
  <c r="AC16" i="16"/>
  <c r="M16" i="16"/>
  <c r="AE15" i="16"/>
  <c r="AC15" i="16"/>
  <c r="AE14" i="16"/>
  <c r="AC14" i="16"/>
  <c r="M14" i="16"/>
  <c r="AE13" i="16"/>
  <c r="AC13" i="16"/>
  <c r="AE12" i="16"/>
  <c r="AC12" i="16"/>
  <c r="M12" i="16"/>
  <c r="AE11" i="16"/>
  <c r="AC11" i="16"/>
  <c r="AE10" i="16"/>
  <c r="AC10" i="16"/>
  <c r="M10" i="16"/>
  <c r="AE9" i="16"/>
  <c r="AC9" i="16"/>
  <c r="AE8" i="16"/>
  <c r="AC8" i="16"/>
  <c r="M8" i="16"/>
  <c r="AE7" i="16"/>
  <c r="AC7" i="16"/>
  <c r="AE6" i="16"/>
  <c r="AC6" i="16"/>
  <c r="M6" i="16"/>
  <c r="AE5" i="16"/>
  <c r="AC5" i="16"/>
  <c r="AE4" i="16"/>
  <c r="AC4" i="16"/>
  <c r="M4" i="16"/>
  <c r="AE3" i="16"/>
  <c r="AC3" i="16"/>
  <c r="AE2" i="16"/>
  <c r="AC2" i="16"/>
  <c r="M2" i="16"/>
  <c r="F33" i="15"/>
  <c r="D33" i="15"/>
  <c r="C33" i="15"/>
  <c r="F32" i="15"/>
  <c r="D32" i="15"/>
  <c r="C32" i="15"/>
  <c r="F31" i="15"/>
  <c r="D31" i="15"/>
  <c r="C31" i="15"/>
  <c r="F30" i="15"/>
  <c r="D30" i="15"/>
  <c r="C30" i="15"/>
  <c r="F29" i="15"/>
  <c r="D29" i="15"/>
  <c r="C29" i="15"/>
  <c r="F28" i="15"/>
  <c r="D28" i="15"/>
  <c r="C28" i="15"/>
  <c r="F27" i="15"/>
  <c r="D27" i="15"/>
  <c r="C27" i="15"/>
  <c r="F26" i="15"/>
  <c r="D26" i="15"/>
  <c r="C26" i="15"/>
  <c r="F25" i="15"/>
  <c r="D25" i="15"/>
  <c r="C25" i="15"/>
  <c r="F24" i="15"/>
  <c r="D24" i="15"/>
  <c r="C24" i="15"/>
  <c r="F23" i="15"/>
  <c r="D23" i="15"/>
  <c r="C23" i="15"/>
  <c r="F22" i="15"/>
  <c r="D22" i="15"/>
  <c r="C22" i="15"/>
  <c r="F21" i="15"/>
  <c r="D21" i="15"/>
  <c r="C21" i="15"/>
  <c r="F20" i="15"/>
  <c r="D20" i="15"/>
  <c r="C20" i="15"/>
  <c r="F19" i="15"/>
  <c r="D19" i="15"/>
  <c r="C19" i="15"/>
  <c r="F18" i="15"/>
  <c r="D18" i="15"/>
  <c r="C18" i="15"/>
  <c r="F17" i="15"/>
  <c r="D17" i="15"/>
  <c r="C17" i="15"/>
  <c r="F16" i="15"/>
  <c r="D16" i="15"/>
  <c r="C16" i="15"/>
  <c r="F15" i="15"/>
  <c r="D15" i="15"/>
  <c r="C15" i="15"/>
  <c r="F14" i="15"/>
  <c r="D14" i="15"/>
  <c r="C14" i="15"/>
  <c r="F13" i="15"/>
  <c r="D13" i="15"/>
  <c r="C13" i="15"/>
  <c r="F12" i="15"/>
  <c r="D12" i="15"/>
  <c r="C12" i="15"/>
  <c r="F11" i="15"/>
  <c r="D11" i="15"/>
  <c r="C11" i="15"/>
  <c r="F10" i="15"/>
  <c r="D10" i="15"/>
  <c r="C10" i="15"/>
  <c r="F9" i="15"/>
  <c r="D9" i="15"/>
  <c r="C9" i="15"/>
  <c r="F8" i="15"/>
  <c r="D8" i="15"/>
  <c r="C8" i="15"/>
  <c r="F7" i="15"/>
  <c r="D7" i="15"/>
  <c r="C7" i="15"/>
  <c r="F6" i="15"/>
  <c r="D6" i="15"/>
  <c r="C6" i="15"/>
  <c r="F5" i="15"/>
  <c r="D5" i="15"/>
  <c r="C5" i="15"/>
  <c r="F4" i="15"/>
  <c r="D4" i="15"/>
  <c r="C4" i="15"/>
  <c r="S33" i="14"/>
  <c r="R33" i="14"/>
  <c r="Q33" i="14"/>
  <c r="P33" i="14"/>
  <c r="O33" i="14"/>
  <c r="N33" i="14"/>
  <c r="M33" i="14"/>
  <c r="L33" i="14"/>
  <c r="K33" i="14"/>
  <c r="J33" i="14"/>
  <c r="I33" i="14"/>
  <c r="H33" i="14"/>
  <c r="G33" i="14"/>
  <c r="F33" i="14"/>
  <c r="E33" i="14"/>
  <c r="D33" i="14"/>
  <c r="C33" i="14"/>
  <c r="B33" i="14"/>
  <c r="S32" i="14"/>
  <c r="R32" i="14"/>
  <c r="Q32" i="14"/>
  <c r="P32" i="14"/>
  <c r="O32" i="14"/>
  <c r="N32" i="14"/>
  <c r="M32" i="14"/>
  <c r="L32" i="14"/>
  <c r="K32" i="14"/>
  <c r="J32" i="14"/>
  <c r="I32" i="14"/>
  <c r="H32" i="14"/>
  <c r="G32" i="14"/>
  <c r="F32" i="14"/>
  <c r="E32" i="14"/>
  <c r="D32" i="14"/>
  <c r="C32" i="14"/>
  <c r="B32" i="14"/>
  <c r="S31" i="14"/>
  <c r="R31" i="14"/>
  <c r="Q31" i="14"/>
  <c r="P31" i="14"/>
  <c r="O31" i="14"/>
  <c r="N31" i="14"/>
  <c r="M31" i="14"/>
  <c r="L31" i="14"/>
  <c r="K31" i="14"/>
  <c r="J31" i="14"/>
  <c r="I31" i="14"/>
  <c r="H31" i="14"/>
  <c r="G31" i="14"/>
  <c r="F31" i="14"/>
  <c r="E31" i="14"/>
  <c r="D31" i="14"/>
  <c r="C31" i="14"/>
  <c r="B31" i="14"/>
  <c r="S30" i="14"/>
  <c r="R30" i="14"/>
  <c r="Q30" i="14"/>
  <c r="P30" i="14"/>
  <c r="O30" i="14"/>
  <c r="N30" i="14"/>
  <c r="M30" i="14"/>
  <c r="L30" i="14"/>
  <c r="K30" i="14"/>
  <c r="J30" i="14"/>
  <c r="I30" i="14"/>
  <c r="H30" i="14"/>
  <c r="G30" i="14"/>
  <c r="F30" i="14"/>
  <c r="E30" i="14"/>
  <c r="D30" i="14"/>
  <c r="C30" i="14"/>
  <c r="B30" i="14"/>
  <c r="S29" i="14"/>
  <c r="R29" i="14"/>
  <c r="Q29" i="14"/>
  <c r="P29" i="14"/>
  <c r="O29" i="14"/>
  <c r="N29" i="14"/>
  <c r="M29" i="14"/>
  <c r="L29" i="14"/>
  <c r="K29" i="14"/>
  <c r="J29" i="14"/>
  <c r="I29" i="14"/>
  <c r="H29" i="14"/>
  <c r="G29" i="14"/>
  <c r="F29" i="14"/>
  <c r="E29" i="14"/>
  <c r="D29" i="14"/>
  <c r="C29" i="14"/>
  <c r="B29" i="14"/>
  <c r="S28" i="14"/>
  <c r="R28" i="14"/>
  <c r="Q28" i="14"/>
  <c r="P28" i="14"/>
  <c r="O28" i="14"/>
  <c r="N28" i="14"/>
  <c r="M28" i="14"/>
  <c r="L28" i="14"/>
  <c r="K28" i="14"/>
  <c r="J28" i="14"/>
  <c r="I28" i="14"/>
  <c r="H28" i="14"/>
  <c r="G28" i="14"/>
  <c r="F28" i="14"/>
  <c r="E28" i="14"/>
  <c r="D28" i="14"/>
  <c r="C28" i="14"/>
  <c r="B28" i="14"/>
  <c r="S27" i="14"/>
  <c r="R27" i="14"/>
  <c r="Q27" i="14"/>
  <c r="P27" i="14"/>
  <c r="O27" i="14"/>
  <c r="N27" i="14"/>
  <c r="M27" i="14"/>
  <c r="L27" i="14"/>
  <c r="K27" i="14"/>
  <c r="J27" i="14"/>
  <c r="I27" i="14"/>
  <c r="H27" i="14"/>
  <c r="G27" i="14"/>
  <c r="F27" i="14"/>
  <c r="E27" i="14"/>
  <c r="D27" i="14"/>
  <c r="C27" i="14"/>
  <c r="B27" i="14"/>
  <c r="S26" i="14"/>
  <c r="R26" i="14"/>
  <c r="Q26" i="14"/>
  <c r="P26" i="14"/>
  <c r="O26" i="14"/>
  <c r="N26" i="14"/>
  <c r="M26" i="14"/>
  <c r="L26" i="14"/>
  <c r="K26" i="14"/>
  <c r="J26" i="14"/>
  <c r="I26" i="14"/>
  <c r="H26" i="14"/>
  <c r="G26" i="14"/>
  <c r="F26" i="14"/>
  <c r="E26" i="14"/>
  <c r="D26" i="14"/>
  <c r="C26" i="14"/>
  <c r="B26" i="14"/>
  <c r="S25" i="14"/>
  <c r="R25" i="14"/>
  <c r="Q25" i="14"/>
  <c r="P25" i="14"/>
  <c r="O25" i="14"/>
  <c r="N25" i="14"/>
  <c r="M25" i="14"/>
  <c r="L25" i="14"/>
  <c r="K25" i="14"/>
  <c r="J25" i="14"/>
  <c r="I25" i="14"/>
  <c r="H25" i="14"/>
  <c r="G25" i="14"/>
  <c r="F25" i="14"/>
  <c r="E25" i="14"/>
  <c r="D25" i="14"/>
  <c r="C25" i="14"/>
  <c r="B25" i="14"/>
  <c r="S24" i="14"/>
  <c r="R24" i="14"/>
  <c r="Q24" i="14"/>
  <c r="P24" i="14"/>
  <c r="O24" i="14"/>
  <c r="N24" i="14"/>
  <c r="M24" i="14"/>
  <c r="L24" i="14"/>
  <c r="K24" i="14"/>
  <c r="J24" i="14"/>
  <c r="I24" i="14"/>
  <c r="H24" i="14"/>
  <c r="G24" i="14"/>
  <c r="F24" i="14"/>
  <c r="E24" i="14"/>
  <c r="D24" i="14"/>
  <c r="C24" i="14"/>
  <c r="B24" i="14"/>
  <c r="S23" i="14"/>
  <c r="R23" i="14"/>
  <c r="Q23" i="14"/>
  <c r="P23" i="14"/>
  <c r="O23" i="14"/>
  <c r="N23" i="14"/>
  <c r="M23" i="14"/>
  <c r="L23" i="14"/>
  <c r="K23" i="14"/>
  <c r="J23" i="14"/>
  <c r="I23" i="14"/>
  <c r="H23" i="14"/>
  <c r="G23" i="14"/>
  <c r="F23" i="14"/>
  <c r="E23" i="14"/>
  <c r="D23" i="14"/>
  <c r="C23" i="14"/>
  <c r="B23" i="14"/>
  <c r="S22" i="14"/>
  <c r="R22" i="14"/>
  <c r="Q22" i="14"/>
  <c r="P22" i="14"/>
  <c r="O22" i="14"/>
  <c r="N22" i="14"/>
  <c r="M22" i="14"/>
  <c r="L22" i="14"/>
  <c r="K22" i="14"/>
  <c r="J22" i="14"/>
  <c r="I22" i="14"/>
  <c r="H22" i="14"/>
  <c r="G22" i="14"/>
  <c r="F22" i="14"/>
  <c r="E22" i="14"/>
  <c r="D22" i="14"/>
  <c r="C22" i="14"/>
  <c r="B22" i="14"/>
  <c r="S21" i="14"/>
  <c r="R21" i="14"/>
  <c r="Q21" i="14"/>
  <c r="P21" i="14"/>
  <c r="O21" i="14"/>
  <c r="N21" i="14"/>
  <c r="M21" i="14"/>
  <c r="L21" i="14"/>
  <c r="K21" i="14"/>
  <c r="J21" i="14"/>
  <c r="I21" i="14"/>
  <c r="H21" i="14"/>
  <c r="G21" i="14"/>
  <c r="F21" i="14"/>
  <c r="E21" i="14"/>
  <c r="D21" i="14"/>
  <c r="C21" i="14"/>
  <c r="B21" i="14"/>
  <c r="S20" i="14"/>
  <c r="R20" i="14"/>
  <c r="Q20" i="14"/>
  <c r="P20" i="14"/>
  <c r="O20" i="14"/>
  <c r="N20" i="14"/>
  <c r="M20" i="14"/>
  <c r="L20" i="14"/>
  <c r="K20" i="14"/>
  <c r="J20" i="14"/>
  <c r="I20" i="14"/>
  <c r="H20" i="14"/>
  <c r="G20" i="14"/>
  <c r="F20" i="14"/>
  <c r="E20" i="14"/>
  <c r="D20" i="14"/>
  <c r="C20" i="14"/>
  <c r="B20" i="14"/>
  <c r="S19" i="14"/>
  <c r="R19" i="14"/>
  <c r="Q19" i="14"/>
  <c r="P19" i="14"/>
  <c r="O19" i="14"/>
  <c r="N19" i="14"/>
  <c r="M19" i="14"/>
  <c r="L19" i="14"/>
  <c r="K19" i="14"/>
  <c r="J19" i="14"/>
  <c r="I19" i="14"/>
  <c r="H19" i="14"/>
  <c r="G19" i="14"/>
  <c r="F19" i="14"/>
  <c r="E19" i="14"/>
  <c r="D19" i="14"/>
  <c r="C19" i="14"/>
  <c r="B19" i="14"/>
  <c r="S18" i="14"/>
  <c r="R18" i="14"/>
  <c r="Q18" i="14"/>
  <c r="P18" i="14"/>
  <c r="O18" i="14"/>
  <c r="N18" i="14"/>
  <c r="M18" i="14"/>
  <c r="L18" i="14"/>
  <c r="K18" i="14"/>
  <c r="J18" i="14"/>
  <c r="I18" i="14"/>
  <c r="H18" i="14"/>
  <c r="G18" i="14"/>
  <c r="F18" i="14"/>
  <c r="E18" i="14"/>
  <c r="D18" i="14"/>
  <c r="C18" i="14"/>
  <c r="B18" i="14"/>
  <c r="S17" i="14"/>
  <c r="R17" i="14"/>
  <c r="Q17" i="14"/>
  <c r="P17" i="14"/>
  <c r="O17" i="14"/>
  <c r="N17" i="14"/>
  <c r="M17" i="14"/>
  <c r="L17" i="14"/>
  <c r="K17" i="14"/>
  <c r="J17" i="14"/>
  <c r="I17" i="14"/>
  <c r="H17" i="14"/>
  <c r="G17" i="14"/>
  <c r="F17" i="14"/>
  <c r="E17" i="14"/>
  <c r="D17" i="14"/>
  <c r="C17" i="14"/>
  <c r="B17" i="14"/>
  <c r="S16" i="14"/>
  <c r="R16" i="14"/>
  <c r="Q16" i="14"/>
  <c r="P16" i="14"/>
  <c r="O16" i="14"/>
  <c r="N16" i="14"/>
  <c r="M16" i="14"/>
  <c r="L16" i="14"/>
  <c r="K16" i="14"/>
  <c r="J16" i="14"/>
  <c r="I16" i="14"/>
  <c r="H16" i="14"/>
  <c r="G16" i="14"/>
  <c r="F16" i="14"/>
  <c r="E16" i="14"/>
  <c r="D16" i="14"/>
  <c r="C16" i="14"/>
  <c r="B16" i="14"/>
  <c r="S15" i="14"/>
  <c r="R15" i="14"/>
  <c r="Q15" i="14"/>
  <c r="P15" i="14"/>
  <c r="O15" i="14"/>
  <c r="N15" i="14"/>
  <c r="M15" i="14"/>
  <c r="L15" i="14"/>
  <c r="K15" i="14"/>
  <c r="J15" i="14"/>
  <c r="I15" i="14"/>
  <c r="H15" i="14"/>
  <c r="G15" i="14"/>
  <c r="F15" i="14"/>
  <c r="E15" i="14"/>
  <c r="D15" i="14"/>
  <c r="C15" i="14"/>
  <c r="B15" i="14"/>
  <c r="S14" i="14"/>
  <c r="R14" i="14"/>
  <c r="Q14" i="14"/>
  <c r="P14" i="14"/>
  <c r="O14" i="14"/>
  <c r="N14" i="14"/>
  <c r="M14" i="14"/>
  <c r="L14" i="14"/>
  <c r="K14" i="14"/>
  <c r="J14" i="14"/>
  <c r="I14" i="14"/>
  <c r="H14" i="14"/>
  <c r="G14" i="14"/>
  <c r="F14" i="14"/>
  <c r="E14" i="14"/>
  <c r="D14" i="14"/>
  <c r="C14" i="14"/>
  <c r="B14" i="14"/>
  <c r="S13" i="14"/>
  <c r="R13" i="14"/>
  <c r="Q13" i="14"/>
  <c r="P13" i="14"/>
  <c r="O13" i="14"/>
  <c r="N13" i="14"/>
  <c r="M13" i="14"/>
  <c r="L13" i="14"/>
  <c r="K13" i="14"/>
  <c r="J13" i="14"/>
  <c r="I13" i="14"/>
  <c r="H13" i="14"/>
  <c r="G13" i="14"/>
  <c r="F13" i="14"/>
  <c r="E13" i="14"/>
  <c r="D13" i="14"/>
  <c r="C13" i="14"/>
  <c r="B13" i="14"/>
  <c r="S12" i="14"/>
  <c r="R12" i="14"/>
  <c r="Q12" i="14"/>
  <c r="P12" i="14"/>
  <c r="O12" i="14"/>
  <c r="N12" i="14"/>
  <c r="M12" i="14"/>
  <c r="L12" i="14"/>
  <c r="K12" i="14"/>
  <c r="J12" i="14"/>
  <c r="I12" i="14"/>
  <c r="H12" i="14"/>
  <c r="G12" i="14"/>
  <c r="F12" i="14"/>
  <c r="E12" i="14"/>
  <c r="D12" i="14"/>
  <c r="C12" i="14"/>
  <c r="B12" i="14"/>
  <c r="S11" i="14"/>
  <c r="R11" i="14"/>
  <c r="Q11" i="14"/>
  <c r="P11" i="14"/>
  <c r="O11" i="14"/>
  <c r="N11" i="14"/>
  <c r="M11" i="14"/>
  <c r="L11" i="14"/>
  <c r="K11" i="14"/>
  <c r="J11" i="14"/>
  <c r="I11" i="14"/>
  <c r="H11" i="14"/>
  <c r="G11" i="14"/>
  <c r="F11" i="14"/>
  <c r="E11" i="14"/>
  <c r="D11" i="14"/>
  <c r="C11" i="14"/>
  <c r="B11" i="14"/>
  <c r="S10" i="14"/>
  <c r="R10" i="14"/>
  <c r="Q10" i="14"/>
  <c r="P10" i="14"/>
  <c r="O10" i="14"/>
  <c r="N10" i="14"/>
  <c r="M10" i="14"/>
  <c r="L10" i="14"/>
  <c r="K10" i="14"/>
  <c r="J10" i="14"/>
  <c r="I10" i="14"/>
  <c r="H10" i="14"/>
  <c r="G10" i="14"/>
  <c r="F10" i="14"/>
  <c r="E10" i="14"/>
  <c r="D10" i="14"/>
  <c r="C10" i="14"/>
  <c r="B10" i="14"/>
  <c r="S9" i="14"/>
  <c r="R9" i="14"/>
  <c r="Q9" i="14"/>
  <c r="P9" i="14"/>
  <c r="O9" i="14"/>
  <c r="N9" i="14"/>
  <c r="M9" i="14"/>
  <c r="L9" i="14"/>
  <c r="K9" i="14"/>
  <c r="J9" i="14"/>
  <c r="I9" i="14"/>
  <c r="H9" i="14"/>
  <c r="G9" i="14"/>
  <c r="F9" i="14"/>
  <c r="E9" i="14"/>
  <c r="D9" i="14"/>
  <c r="C9" i="14"/>
  <c r="B9" i="14"/>
  <c r="S8" i="14"/>
  <c r="R8" i="14"/>
  <c r="Q8" i="14"/>
  <c r="P8" i="14"/>
  <c r="O8" i="14"/>
  <c r="N8" i="14"/>
  <c r="M8" i="14"/>
  <c r="L8" i="14"/>
  <c r="K8" i="14"/>
  <c r="J8" i="14"/>
  <c r="I8" i="14"/>
  <c r="H8" i="14"/>
  <c r="G8" i="14"/>
  <c r="F8" i="14"/>
  <c r="E8" i="14"/>
  <c r="D8" i="14"/>
  <c r="C8" i="14"/>
  <c r="B8" i="14"/>
  <c r="S7" i="14"/>
  <c r="R7" i="14"/>
  <c r="Q7" i="14"/>
  <c r="P7" i="14"/>
  <c r="O7" i="14"/>
  <c r="N7" i="14"/>
  <c r="M7" i="14"/>
  <c r="L7" i="14"/>
  <c r="K7" i="14"/>
  <c r="J7" i="14"/>
  <c r="I7" i="14"/>
  <c r="H7" i="14"/>
  <c r="G7" i="14"/>
  <c r="F7" i="14"/>
  <c r="E7" i="14"/>
  <c r="D7" i="14"/>
  <c r="C7" i="14"/>
  <c r="B7" i="14"/>
  <c r="S6" i="14"/>
  <c r="R6" i="14"/>
  <c r="Q6" i="14"/>
  <c r="P6" i="14"/>
  <c r="O6" i="14"/>
  <c r="N6" i="14"/>
  <c r="M6" i="14"/>
  <c r="L6" i="14"/>
  <c r="K6" i="14"/>
  <c r="J6" i="14"/>
  <c r="I6" i="14"/>
  <c r="H6" i="14"/>
  <c r="G6" i="14"/>
  <c r="F6" i="14"/>
  <c r="E6" i="14"/>
  <c r="D6" i="14"/>
  <c r="C6" i="14"/>
  <c r="B6" i="14"/>
  <c r="S5" i="14"/>
  <c r="R5" i="14"/>
  <c r="Q5" i="14"/>
  <c r="P5" i="14"/>
  <c r="O5" i="14"/>
  <c r="N5" i="14"/>
  <c r="M5" i="14"/>
  <c r="L5" i="14"/>
  <c r="K5" i="14"/>
  <c r="J5" i="14"/>
  <c r="I5" i="14"/>
  <c r="H5" i="14"/>
  <c r="G5" i="14"/>
  <c r="F5" i="14"/>
  <c r="E5" i="14"/>
  <c r="D5" i="14"/>
  <c r="C5" i="14"/>
  <c r="B5" i="14"/>
  <c r="S4" i="14"/>
  <c r="R4" i="14"/>
  <c r="Q4" i="14"/>
  <c r="P4" i="14"/>
  <c r="O4" i="14"/>
  <c r="N4" i="14"/>
  <c r="M4" i="14"/>
  <c r="L4" i="14"/>
  <c r="K4" i="14"/>
  <c r="J4" i="14"/>
  <c r="I4" i="14"/>
  <c r="H4" i="14"/>
  <c r="G4" i="14"/>
  <c r="F4" i="14"/>
  <c r="E4" i="14"/>
  <c r="D4" i="14"/>
  <c r="C4" i="14"/>
  <c r="B4" i="14"/>
  <c r="AA31" i="2"/>
  <c r="X31" i="2"/>
  <c r="U31" i="2"/>
  <c r="R31" i="2"/>
  <c r="N31" i="2"/>
  <c r="AA30" i="2"/>
  <c r="X30" i="2"/>
  <c r="U30" i="2"/>
  <c r="R30" i="2"/>
  <c r="N30" i="2"/>
  <c r="AA29" i="2"/>
  <c r="X29" i="2"/>
  <c r="U29" i="2"/>
  <c r="R29" i="2"/>
  <c r="N29" i="2"/>
  <c r="AA28" i="2"/>
  <c r="X28" i="2"/>
  <c r="U28" i="2"/>
  <c r="R28" i="2"/>
  <c r="N28" i="2"/>
  <c r="AA27" i="2"/>
  <c r="X27" i="2"/>
  <c r="U27" i="2"/>
  <c r="R27" i="2"/>
  <c r="N27" i="2"/>
  <c r="AA26" i="2"/>
  <c r="X26" i="2"/>
  <c r="U26" i="2"/>
  <c r="R26" i="2"/>
  <c r="N26" i="2"/>
  <c r="AA25" i="2"/>
  <c r="X25" i="2"/>
  <c r="U25" i="2"/>
  <c r="R25" i="2"/>
  <c r="N25" i="2"/>
  <c r="AA24" i="2"/>
  <c r="X24" i="2"/>
  <c r="U24" i="2"/>
  <c r="R24" i="2"/>
  <c r="N24" i="2"/>
  <c r="AA23" i="2"/>
  <c r="X23" i="2"/>
  <c r="U23" i="2"/>
  <c r="R23" i="2"/>
  <c r="N23" i="2"/>
  <c r="AA22" i="2"/>
  <c r="X22" i="2"/>
  <c r="U22" i="2"/>
  <c r="R22" i="2"/>
  <c r="N22" i="2"/>
  <c r="AA21" i="2"/>
  <c r="X21" i="2"/>
  <c r="U21" i="2"/>
  <c r="R21" i="2"/>
  <c r="N21" i="2"/>
  <c r="AA20" i="2"/>
  <c r="X20" i="2"/>
  <c r="U20" i="2"/>
  <c r="R20" i="2"/>
  <c r="N20" i="2"/>
  <c r="AA19" i="2"/>
  <c r="X19" i="2"/>
  <c r="U19" i="2"/>
  <c r="R19" i="2"/>
  <c r="N19" i="2"/>
  <c r="AA18" i="2"/>
  <c r="X18" i="2"/>
  <c r="U18" i="2"/>
  <c r="R18" i="2"/>
  <c r="N18" i="2"/>
  <c r="AA17" i="2"/>
  <c r="X17" i="2"/>
  <c r="U17" i="2"/>
  <c r="R17" i="2"/>
  <c r="N17" i="2"/>
  <c r="AA16" i="2"/>
  <c r="X16" i="2"/>
  <c r="U16" i="2"/>
  <c r="R16" i="2"/>
  <c r="N16" i="2"/>
  <c r="AA15" i="2"/>
  <c r="X15" i="2"/>
  <c r="U15" i="2"/>
  <c r="R15" i="2"/>
  <c r="N15" i="2"/>
  <c r="AA14" i="2"/>
  <c r="X14" i="2"/>
  <c r="U14" i="2"/>
  <c r="R14" i="2"/>
  <c r="N14" i="2"/>
  <c r="AA13" i="2"/>
  <c r="X13" i="2"/>
  <c r="U13" i="2"/>
  <c r="R13" i="2"/>
  <c r="N13" i="2"/>
  <c r="AA12" i="2"/>
  <c r="X12" i="2"/>
  <c r="U12" i="2"/>
  <c r="R12" i="2"/>
  <c r="N12" i="2"/>
  <c r="AA11" i="2"/>
  <c r="X11" i="2"/>
  <c r="U11" i="2"/>
  <c r="R11" i="2"/>
  <c r="N11" i="2"/>
  <c r="AA10" i="2"/>
  <c r="X10" i="2"/>
  <c r="U10" i="2"/>
  <c r="R10" i="2"/>
  <c r="N10" i="2"/>
  <c r="AA9" i="2"/>
  <c r="X9" i="2"/>
  <c r="U9" i="2"/>
  <c r="R9" i="2"/>
  <c r="N9" i="2"/>
  <c r="AA8" i="2"/>
  <c r="X8" i="2"/>
  <c r="U8" i="2"/>
  <c r="R8" i="2"/>
  <c r="N8" i="2"/>
  <c r="AA7" i="2"/>
  <c r="X7" i="2"/>
  <c r="U7" i="2"/>
  <c r="R7" i="2"/>
  <c r="N7" i="2"/>
  <c r="AA6" i="2"/>
  <c r="X6" i="2"/>
  <c r="U6" i="2"/>
  <c r="R6" i="2"/>
  <c r="N6" i="2"/>
  <c r="AA5" i="2"/>
  <c r="X5" i="2"/>
  <c r="U5" i="2"/>
  <c r="R5" i="2"/>
  <c r="N5" i="2"/>
  <c r="AA4" i="2"/>
  <c r="X4" i="2"/>
  <c r="U4" i="2"/>
  <c r="R4" i="2"/>
  <c r="N4" i="2"/>
  <c r="AA3" i="2"/>
  <c r="X3" i="2"/>
  <c r="U3" i="2"/>
  <c r="R3" i="2"/>
  <c r="N3" i="2"/>
  <c r="AA2" i="2"/>
  <c r="X2" i="2"/>
  <c r="U2" i="2"/>
  <c r="R2" i="2"/>
  <c r="N2" i="2"/>
  <c r="W34" i="5"/>
  <c r="V34" i="5"/>
  <c r="O34" i="5"/>
  <c r="N34" i="5"/>
  <c r="AW33" i="5"/>
  <c r="AV33" i="5"/>
  <c r="AU33" i="5"/>
  <c r="AT33" i="5"/>
  <c r="AS33" i="5"/>
  <c r="AR33" i="5"/>
  <c r="AQ33" i="5"/>
  <c r="AP33" i="5"/>
  <c r="AO33" i="5"/>
  <c r="AN33" i="5"/>
  <c r="AM33" i="5"/>
  <c r="AL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F33" i="5"/>
  <c r="E33" i="5"/>
  <c r="C33" i="5"/>
  <c r="B33" i="5"/>
  <c r="AW32" i="5"/>
  <c r="AV32" i="5"/>
  <c r="AU32" i="5"/>
  <c r="AT32" i="5"/>
  <c r="AS32" i="5"/>
  <c r="AR32" i="5"/>
  <c r="AQ32" i="5"/>
  <c r="AP32" i="5"/>
  <c r="AO32" i="5"/>
  <c r="AN32" i="5"/>
  <c r="AM32" i="5"/>
  <c r="AL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F32" i="5"/>
  <c r="E32" i="5"/>
  <c r="C32" i="5"/>
  <c r="B32" i="5"/>
  <c r="AW31" i="5"/>
  <c r="AV31" i="5"/>
  <c r="AU31" i="5"/>
  <c r="AT31" i="5"/>
  <c r="AS31" i="5"/>
  <c r="AR31" i="5"/>
  <c r="AQ31" i="5"/>
  <c r="AP31" i="5"/>
  <c r="AO31" i="5"/>
  <c r="AN31" i="5"/>
  <c r="AM31" i="5"/>
  <c r="AL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F31" i="5"/>
  <c r="E31" i="5"/>
  <c r="C31" i="5"/>
  <c r="B31" i="5"/>
  <c r="AW30" i="5"/>
  <c r="AV30" i="5"/>
  <c r="AU30" i="5"/>
  <c r="AT30" i="5"/>
  <c r="AS30" i="5"/>
  <c r="AR30" i="5"/>
  <c r="AQ30" i="5"/>
  <c r="AP30" i="5"/>
  <c r="AO30" i="5"/>
  <c r="AN30" i="5"/>
  <c r="AM30" i="5"/>
  <c r="AL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F30" i="5"/>
  <c r="E30" i="5"/>
  <c r="C30" i="5"/>
  <c r="B30" i="5"/>
  <c r="AW29" i="5"/>
  <c r="AV29" i="5"/>
  <c r="AU29" i="5"/>
  <c r="AT29" i="5"/>
  <c r="AS29" i="5"/>
  <c r="AR29" i="5"/>
  <c r="AQ29" i="5"/>
  <c r="AP29" i="5"/>
  <c r="AO29" i="5"/>
  <c r="AN29" i="5"/>
  <c r="AM29" i="5"/>
  <c r="AL29" i="5"/>
  <c r="AI29" i="5"/>
  <c r="AH29" i="5"/>
  <c r="AG29" i="5"/>
  <c r="AF29" i="5"/>
  <c r="AE29" i="5"/>
  <c r="AD29" i="5"/>
  <c r="AC29" i="5"/>
  <c r="AB29" i="5"/>
  <c r="AA29" i="5"/>
  <c r="Z29" i="5"/>
  <c r="Y29" i="5"/>
  <c r="X29" i="5"/>
  <c r="W29" i="5"/>
  <c r="V29" i="5"/>
  <c r="U29" i="5"/>
  <c r="T29" i="5"/>
  <c r="S29" i="5"/>
  <c r="R29" i="5"/>
  <c r="Q29" i="5"/>
  <c r="P29" i="5"/>
  <c r="O29" i="5"/>
  <c r="N29" i="5"/>
  <c r="M29" i="5"/>
  <c r="L29" i="5"/>
  <c r="K29" i="5"/>
  <c r="J29" i="5"/>
  <c r="I29" i="5"/>
  <c r="H29" i="5"/>
  <c r="G29" i="5"/>
  <c r="F29" i="5"/>
  <c r="E29" i="5"/>
  <c r="C29" i="5"/>
  <c r="B29" i="5"/>
  <c r="AW28" i="5"/>
  <c r="AV28" i="5"/>
  <c r="AU28" i="5"/>
  <c r="AT28" i="5"/>
  <c r="AS28" i="5"/>
  <c r="AR28" i="5"/>
  <c r="AQ28" i="5"/>
  <c r="AP28" i="5"/>
  <c r="AO28" i="5"/>
  <c r="AN28" i="5"/>
  <c r="AM28" i="5"/>
  <c r="AL28"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F28" i="5"/>
  <c r="E28" i="5"/>
  <c r="C28" i="5"/>
  <c r="B28" i="5"/>
  <c r="AW27" i="5"/>
  <c r="AV27" i="5"/>
  <c r="AU27" i="5"/>
  <c r="AT27" i="5"/>
  <c r="AS27" i="5"/>
  <c r="AR27" i="5"/>
  <c r="AQ27" i="5"/>
  <c r="AP27" i="5"/>
  <c r="AO27" i="5"/>
  <c r="AN27" i="5"/>
  <c r="AM27" i="5"/>
  <c r="AL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F27" i="5"/>
  <c r="E27" i="5"/>
  <c r="C27" i="5"/>
  <c r="B27" i="5"/>
  <c r="AW26" i="5"/>
  <c r="AV26" i="5"/>
  <c r="AU26" i="5"/>
  <c r="AT26" i="5"/>
  <c r="AS26" i="5"/>
  <c r="AR26" i="5"/>
  <c r="AQ26" i="5"/>
  <c r="AP26" i="5"/>
  <c r="AO26" i="5"/>
  <c r="AN26" i="5"/>
  <c r="AM26" i="5"/>
  <c r="AL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C26" i="5"/>
  <c r="B26" i="5"/>
  <c r="AW25" i="5"/>
  <c r="AV25" i="5"/>
  <c r="AU25" i="5"/>
  <c r="AT25" i="5"/>
  <c r="AS25" i="5"/>
  <c r="AR25" i="5"/>
  <c r="AQ25" i="5"/>
  <c r="AP25" i="5"/>
  <c r="AO25" i="5"/>
  <c r="AN25" i="5"/>
  <c r="AM25" i="5"/>
  <c r="AL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C25" i="5"/>
  <c r="B25" i="5"/>
  <c r="AW24" i="5"/>
  <c r="AV24" i="5"/>
  <c r="AU24" i="5"/>
  <c r="AT24" i="5"/>
  <c r="AS24" i="5"/>
  <c r="AR24" i="5"/>
  <c r="AQ24" i="5"/>
  <c r="AP24" i="5"/>
  <c r="AO24" i="5"/>
  <c r="AN24" i="5"/>
  <c r="AM24" i="5"/>
  <c r="AL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C24" i="5"/>
  <c r="B24" i="5"/>
  <c r="AW23" i="5"/>
  <c r="AV23" i="5"/>
  <c r="AU23" i="5"/>
  <c r="AT23" i="5"/>
  <c r="AS23" i="5"/>
  <c r="AR23" i="5"/>
  <c r="AQ23" i="5"/>
  <c r="AP23" i="5"/>
  <c r="AO23" i="5"/>
  <c r="AN23" i="5"/>
  <c r="AM23" i="5"/>
  <c r="AL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C23" i="5"/>
  <c r="B23" i="5"/>
  <c r="AW22" i="5"/>
  <c r="AV22" i="5"/>
  <c r="AU22" i="5"/>
  <c r="AT22" i="5"/>
  <c r="AS22" i="5"/>
  <c r="AR22" i="5"/>
  <c r="AQ22" i="5"/>
  <c r="AP22" i="5"/>
  <c r="AO22" i="5"/>
  <c r="AN22" i="5"/>
  <c r="AM22" i="5"/>
  <c r="AL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C22" i="5"/>
  <c r="B22" i="5"/>
  <c r="AW21" i="5"/>
  <c r="AV21" i="5"/>
  <c r="AU21" i="5"/>
  <c r="AT21" i="5"/>
  <c r="AS21" i="5"/>
  <c r="AR21" i="5"/>
  <c r="AQ21" i="5"/>
  <c r="AP21" i="5"/>
  <c r="AO21" i="5"/>
  <c r="AN21" i="5"/>
  <c r="AM21" i="5"/>
  <c r="AL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C21" i="5"/>
  <c r="B21" i="5"/>
  <c r="AW20" i="5"/>
  <c r="AV20" i="5"/>
  <c r="AU20" i="5"/>
  <c r="AT20" i="5"/>
  <c r="AS20" i="5"/>
  <c r="AR20" i="5"/>
  <c r="AQ20" i="5"/>
  <c r="AP20" i="5"/>
  <c r="AO20" i="5"/>
  <c r="AN20" i="5"/>
  <c r="AM20" i="5"/>
  <c r="AL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C20" i="5"/>
  <c r="B20" i="5"/>
  <c r="AW19" i="5"/>
  <c r="AV19" i="5"/>
  <c r="AU19" i="5"/>
  <c r="AT19" i="5"/>
  <c r="AS19" i="5"/>
  <c r="AR19" i="5"/>
  <c r="AQ19" i="5"/>
  <c r="AP19" i="5"/>
  <c r="AO19" i="5"/>
  <c r="AN19" i="5"/>
  <c r="AM19" i="5"/>
  <c r="AL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C19" i="5"/>
  <c r="B19" i="5"/>
  <c r="AW18" i="5"/>
  <c r="AV18" i="5"/>
  <c r="AU18" i="5"/>
  <c r="AT18" i="5"/>
  <c r="AS18" i="5"/>
  <c r="AR18" i="5"/>
  <c r="AQ18" i="5"/>
  <c r="AP18" i="5"/>
  <c r="AO18" i="5"/>
  <c r="AN18" i="5"/>
  <c r="AM18" i="5"/>
  <c r="AL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C18" i="5"/>
  <c r="B18" i="5"/>
  <c r="AW17" i="5"/>
  <c r="AV17" i="5"/>
  <c r="AU17" i="5"/>
  <c r="AT17" i="5"/>
  <c r="AS17" i="5"/>
  <c r="AR17" i="5"/>
  <c r="AQ17" i="5"/>
  <c r="AP17" i="5"/>
  <c r="AO17" i="5"/>
  <c r="AN17" i="5"/>
  <c r="AM17" i="5"/>
  <c r="AL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C17" i="5"/>
  <c r="B17" i="5"/>
  <c r="AW16" i="5"/>
  <c r="AV16" i="5"/>
  <c r="AU16" i="5"/>
  <c r="AT16" i="5"/>
  <c r="AS16" i="5"/>
  <c r="AR16" i="5"/>
  <c r="AQ16" i="5"/>
  <c r="AP16" i="5"/>
  <c r="AO16" i="5"/>
  <c r="AN16" i="5"/>
  <c r="AM16" i="5"/>
  <c r="AL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C16" i="5"/>
  <c r="B16" i="5"/>
  <c r="AW15" i="5"/>
  <c r="AV15" i="5"/>
  <c r="AU15" i="5"/>
  <c r="AT15" i="5"/>
  <c r="AS15" i="5"/>
  <c r="AR15" i="5"/>
  <c r="AQ15" i="5"/>
  <c r="AP15" i="5"/>
  <c r="AO15" i="5"/>
  <c r="AN15" i="5"/>
  <c r="AM15" i="5"/>
  <c r="AL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C15" i="5"/>
  <c r="B15" i="5"/>
  <c r="AW14" i="5"/>
  <c r="AV14" i="5"/>
  <c r="AU14" i="5"/>
  <c r="AT14" i="5"/>
  <c r="AS14" i="5"/>
  <c r="AR14" i="5"/>
  <c r="AQ14" i="5"/>
  <c r="AP14" i="5"/>
  <c r="AO14" i="5"/>
  <c r="AN14" i="5"/>
  <c r="AM14" i="5"/>
  <c r="AL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C14" i="5"/>
  <c r="B14" i="5"/>
  <c r="AW13" i="5"/>
  <c r="AV13" i="5"/>
  <c r="AU13" i="5"/>
  <c r="AT13" i="5"/>
  <c r="AS13" i="5"/>
  <c r="AR13" i="5"/>
  <c r="AQ13" i="5"/>
  <c r="AP13" i="5"/>
  <c r="AO13" i="5"/>
  <c r="AN13" i="5"/>
  <c r="AM13" i="5"/>
  <c r="AL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C13" i="5"/>
  <c r="B13" i="5"/>
  <c r="AW12" i="5"/>
  <c r="AV12" i="5"/>
  <c r="AU12" i="5"/>
  <c r="AT12" i="5"/>
  <c r="AS12" i="5"/>
  <c r="AR12" i="5"/>
  <c r="AQ12" i="5"/>
  <c r="AP12" i="5"/>
  <c r="AO12" i="5"/>
  <c r="AN12" i="5"/>
  <c r="AM12" i="5"/>
  <c r="AL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C12" i="5"/>
  <c r="B12" i="5"/>
  <c r="AW11" i="5"/>
  <c r="AV11" i="5"/>
  <c r="AU11" i="5"/>
  <c r="AT11" i="5"/>
  <c r="AS11" i="5"/>
  <c r="AR11" i="5"/>
  <c r="AQ11" i="5"/>
  <c r="AP11" i="5"/>
  <c r="AO11" i="5"/>
  <c r="AN11" i="5"/>
  <c r="AM11" i="5"/>
  <c r="AL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C11" i="5"/>
  <c r="B11" i="5"/>
  <c r="AW10" i="5"/>
  <c r="AV10" i="5"/>
  <c r="AU10" i="5"/>
  <c r="AT10" i="5"/>
  <c r="AS10" i="5"/>
  <c r="AR10" i="5"/>
  <c r="AQ10" i="5"/>
  <c r="AP10" i="5"/>
  <c r="AO10" i="5"/>
  <c r="AN10" i="5"/>
  <c r="AM10" i="5"/>
  <c r="AL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C10" i="5"/>
  <c r="B10" i="5"/>
  <c r="AW9" i="5"/>
  <c r="AV9" i="5"/>
  <c r="AU9" i="5"/>
  <c r="AT9" i="5"/>
  <c r="AS9" i="5"/>
  <c r="AR9" i="5"/>
  <c r="AQ9" i="5"/>
  <c r="AP9" i="5"/>
  <c r="AO9" i="5"/>
  <c r="AN9" i="5"/>
  <c r="AM9" i="5"/>
  <c r="AL9"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C9" i="5"/>
  <c r="B9" i="5"/>
  <c r="AW8" i="5"/>
  <c r="AV8" i="5"/>
  <c r="AU8" i="5"/>
  <c r="AT8" i="5"/>
  <c r="AS8" i="5"/>
  <c r="AR8" i="5"/>
  <c r="AQ8" i="5"/>
  <c r="AP8" i="5"/>
  <c r="AO8" i="5"/>
  <c r="AN8" i="5"/>
  <c r="AM8" i="5"/>
  <c r="AL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C8" i="5"/>
  <c r="B8" i="5"/>
  <c r="AW7" i="5"/>
  <c r="AV7" i="5"/>
  <c r="AU7" i="5"/>
  <c r="AT7" i="5"/>
  <c r="AS7" i="5"/>
  <c r="AR7" i="5"/>
  <c r="AQ7" i="5"/>
  <c r="AP7" i="5"/>
  <c r="AO7" i="5"/>
  <c r="AN7" i="5"/>
  <c r="AM7" i="5"/>
  <c r="AL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C7" i="5"/>
  <c r="B7" i="5"/>
  <c r="AW6" i="5"/>
  <c r="AV6" i="5"/>
  <c r="AU6" i="5"/>
  <c r="AT6" i="5"/>
  <c r="AS6" i="5"/>
  <c r="AR6" i="5"/>
  <c r="AQ6" i="5"/>
  <c r="AP6" i="5"/>
  <c r="AO6" i="5"/>
  <c r="AN6" i="5"/>
  <c r="AM6" i="5"/>
  <c r="AL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C6" i="5"/>
  <c r="B6" i="5"/>
  <c r="AW5" i="5"/>
  <c r="AV5" i="5"/>
  <c r="AU5" i="5"/>
  <c r="AT5" i="5"/>
  <c r="AS5" i="5"/>
  <c r="AR5" i="5"/>
  <c r="AQ5" i="5"/>
  <c r="AP5" i="5"/>
  <c r="AO5" i="5"/>
  <c r="AN5" i="5"/>
  <c r="AM5" i="5"/>
  <c r="AL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 r="E5" i="5"/>
  <c r="C5" i="5"/>
  <c r="B5" i="5"/>
  <c r="AW4" i="5"/>
  <c r="AV4" i="5"/>
  <c r="AU4" i="5"/>
  <c r="AT4" i="5"/>
  <c r="AS4" i="5"/>
  <c r="AR4" i="5"/>
  <c r="AQ4" i="5"/>
  <c r="AP4" i="5"/>
  <c r="AO4" i="5"/>
  <c r="AN4" i="5"/>
  <c r="AM4" i="5"/>
  <c r="AL4" i="5"/>
  <c r="AI4" i="5"/>
  <c r="AH4" i="5"/>
  <c r="AG4" i="5"/>
  <c r="AF4" i="5"/>
  <c r="AE4" i="5"/>
  <c r="AD4" i="5"/>
  <c r="AC4" i="5"/>
  <c r="AB4" i="5"/>
  <c r="AA4" i="5"/>
  <c r="Z4" i="5"/>
  <c r="Y4" i="5"/>
  <c r="X4" i="5"/>
  <c r="W4" i="5"/>
  <c r="V4" i="5"/>
  <c r="U4" i="5"/>
  <c r="T4" i="5"/>
  <c r="S4" i="5"/>
  <c r="R4" i="5"/>
  <c r="Q4" i="5"/>
  <c r="P4" i="5"/>
  <c r="O4" i="5"/>
  <c r="N4" i="5"/>
  <c r="M4" i="5"/>
  <c r="L4" i="5"/>
  <c r="K4" i="5"/>
  <c r="J4" i="5"/>
  <c r="I4" i="5"/>
  <c r="H4" i="5"/>
  <c r="G4" i="5"/>
  <c r="F4" i="5"/>
  <c r="E4" i="5"/>
  <c r="C4" i="5"/>
  <c r="B4" i="5"/>
  <c r="I8" i="18"/>
  <c r="I9" i="18" s="1"/>
  <c r="F8" i="18"/>
  <c r="F9" i="18" s="1"/>
  <c r="I7" i="18"/>
  <c r="I6" i="18"/>
  <c r="F6" i="18"/>
  <c r="F7" i="18" s="1"/>
  <c r="I4" i="18"/>
  <c r="I5" i="18" s="1"/>
  <c r="F4" i="18"/>
  <c r="I3" i="18"/>
  <c r="F3" i="18"/>
  <c r="T2" i="18"/>
  <c r="I2" i="18"/>
  <c r="F2" i="18"/>
  <c r="B9" i="13"/>
  <c r="B8" i="13"/>
  <c r="C15" i="21" s="1"/>
  <c r="D7" i="21" l="1"/>
  <c r="D15" i="21"/>
  <c r="D6" i="21"/>
  <c r="C7" i="21"/>
  <c r="C6" i="21"/>
  <c r="I10" i="18"/>
  <c r="C16" i="21"/>
  <c r="C12" i="21"/>
  <c r="D16" i="21"/>
  <c r="D12" i="21"/>
  <c r="C14" i="21"/>
  <c r="C13" i="21"/>
  <c r="D14" i="21"/>
  <c r="D13" i="21"/>
  <c r="C8" i="21"/>
  <c r="C9" i="21"/>
  <c r="F5" i="18"/>
  <c r="F10" i="18" s="1"/>
  <c r="D8" i="21"/>
  <c r="D17" i="21"/>
  <c r="D9" i="21"/>
  <c r="D10" i="21"/>
  <c r="C17" i="21"/>
  <c r="C10" i="21"/>
  <c r="F15" i="18" l="1"/>
  <c r="F13" i="18"/>
  <c r="F12" i="18"/>
  <c r="I15" i="18"/>
  <c r="D11" i="21" s="1"/>
  <c r="I13" i="18"/>
  <c r="I12" i="18"/>
  <c r="D19" i="21" l="1"/>
  <c r="B16" i="13"/>
  <c r="C18" i="21" s="1"/>
  <c r="B17" i="13"/>
  <c r="C11" i="21"/>
  <c r="D20" i="21" l="1"/>
  <c r="I27" i="18"/>
  <c r="I30" i="18" s="1"/>
  <c r="I31" i="18" s="1"/>
  <c r="I38" i="18"/>
  <c r="I39" i="18" s="1"/>
  <c r="I40" i="18" s="1"/>
  <c r="C19" i="21"/>
  <c r="C20" i="21" s="1"/>
  <c r="D18" i="21"/>
  <c r="I35" i="18"/>
  <c r="I36" i="18" s="1"/>
  <c r="K193" i="3"/>
  <c r="K413" i="3"/>
  <c r="K31" i="3"/>
  <c r="K412" i="3"/>
  <c r="K373" i="3"/>
  <c r="K168" i="3"/>
  <c r="K435" i="3"/>
  <c r="K366" i="3"/>
  <c r="K128" i="3"/>
  <c r="K210" i="3"/>
  <c r="K201" i="3"/>
  <c r="K126" i="3"/>
  <c r="K320" i="3"/>
  <c r="K520" i="3"/>
  <c r="K129" i="3"/>
  <c r="K182" i="3"/>
  <c r="K386" i="3"/>
  <c r="K185" i="3"/>
  <c r="K363" i="3"/>
  <c r="K488" i="3"/>
  <c r="K389" i="3"/>
  <c r="K432" i="3"/>
  <c r="K292" i="3"/>
  <c r="K482" i="3"/>
  <c r="K18" i="3"/>
  <c r="K221" i="3"/>
  <c r="K239" i="3"/>
  <c r="K60" i="3"/>
  <c r="K342" i="3"/>
  <c r="K344" i="3"/>
  <c r="K96" i="3"/>
  <c r="K468" i="3"/>
  <c r="K365" i="3"/>
  <c r="K517" i="3"/>
  <c r="K238" i="3"/>
  <c r="K280" i="3"/>
  <c r="K171" i="3"/>
  <c r="K245" i="3"/>
  <c r="K349" i="3"/>
  <c r="K166" i="3"/>
  <c r="K431" i="3"/>
  <c r="K103" i="3"/>
  <c r="K53" i="3"/>
  <c r="K135" i="3"/>
  <c r="K172" i="3"/>
  <c r="K74" i="3"/>
  <c r="K190" i="3"/>
  <c r="K95" i="3"/>
  <c r="K117" i="3"/>
  <c r="K322" i="3"/>
  <c r="K89" i="3"/>
  <c r="K144" i="3"/>
  <c r="K375" i="3"/>
  <c r="K399" i="3"/>
  <c r="K78" i="3"/>
  <c r="K45" i="3"/>
  <c r="K427" i="3"/>
  <c r="K188" i="3"/>
  <c r="K40" i="3"/>
  <c r="K72" i="3"/>
  <c r="K256" i="3"/>
  <c r="K518" i="3"/>
  <c r="K67" i="3"/>
  <c r="K331" i="3"/>
  <c r="K483" i="3"/>
  <c r="K277" i="3"/>
  <c r="K411" i="3"/>
  <c r="K76" i="3"/>
  <c r="K298" i="3"/>
  <c r="K290" i="3"/>
  <c r="K304" i="3"/>
  <c r="K327" i="3"/>
  <c r="K458" i="3"/>
  <c r="K376" i="3"/>
  <c r="K6" i="3"/>
  <c r="K62" i="3"/>
  <c r="K442" i="3"/>
  <c r="K426" i="3"/>
  <c r="K140" i="3"/>
  <c r="K38" i="3"/>
  <c r="K165" i="3"/>
  <c r="K184" i="3"/>
  <c r="K381" i="3"/>
  <c r="K455" i="3"/>
  <c r="K312" i="3"/>
  <c r="K362" i="3"/>
  <c r="K257" i="3"/>
  <c r="K390" i="3"/>
  <c r="K428" i="3"/>
  <c r="K137" i="3"/>
  <c r="K430" i="3"/>
  <c r="K407" i="3"/>
  <c r="K122" i="3"/>
  <c r="K437" i="3"/>
  <c r="K211" i="3"/>
  <c r="K524" i="3"/>
  <c r="K516" i="3"/>
  <c r="K350" i="3"/>
  <c r="K176" i="3"/>
  <c r="K82" i="3"/>
  <c r="K224" i="3"/>
  <c r="K281" i="3"/>
  <c r="K519" i="3"/>
  <c r="K378" i="3"/>
  <c r="K332" i="3"/>
  <c r="K202" i="3"/>
  <c r="K41" i="3"/>
  <c r="K112" i="3"/>
  <c r="K13" i="3"/>
  <c r="K538" i="3"/>
  <c r="K142" i="3"/>
  <c r="K234" i="3"/>
  <c r="K318" i="3"/>
  <c r="K222" i="3"/>
  <c r="K90" i="3"/>
  <c r="K187" i="3"/>
  <c r="K214" i="3"/>
  <c r="K178" i="3"/>
  <c r="K25" i="3"/>
  <c r="K220" i="3"/>
  <c r="K259" i="3"/>
  <c r="K63" i="3"/>
  <c r="K387" i="3"/>
  <c r="K339" i="3"/>
  <c r="K384" i="3"/>
  <c r="K285" i="3"/>
  <c r="K159" i="3"/>
  <c r="K508" i="3"/>
  <c r="K391" i="3"/>
  <c r="K102" i="3"/>
  <c r="K240" i="3"/>
  <c r="K396" i="3"/>
  <c r="K273" i="3"/>
  <c r="K348" i="3"/>
  <c r="K52" i="3"/>
  <c r="K443" i="3"/>
  <c r="K97" i="3"/>
  <c r="K452" i="3"/>
  <c r="K215" i="3"/>
  <c r="K200" i="3"/>
  <c r="K403" i="3"/>
  <c r="K414" i="3"/>
  <c r="K180" i="3"/>
  <c r="K58" i="3"/>
  <c r="K143" i="3"/>
  <c r="K533" i="3"/>
  <c r="K287" i="3"/>
  <c r="K374" i="3"/>
  <c r="K481" i="3"/>
  <c r="K131" i="3"/>
  <c r="K499" i="3"/>
  <c r="K453" i="3"/>
  <c r="K195" i="3"/>
  <c r="K369" i="3"/>
  <c r="K269" i="3"/>
  <c r="K354" i="3"/>
  <c r="K213" i="3"/>
  <c r="K528" i="3"/>
  <c r="K419" i="3"/>
  <c r="K242" i="3"/>
  <c r="K65" i="3"/>
  <c r="K68" i="3"/>
  <c r="K275" i="3"/>
  <c r="K316" i="3"/>
  <c r="K124" i="3"/>
  <c r="K197" i="3"/>
  <c r="K152" i="3"/>
  <c r="K21" i="3"/>
  <c r="K537" i="3"/>
  <c r="K448" i="3"/>
  <c r="K123" i="3"/>
  <c r="K161" i="3"/>
  <c r="K521" i="3"/>
  <c r="K425" i="3"/>
  <c r="K248" i="3"/>
  <c r="K491" i="3"/>
  <c r="K446" i="3"/>
  <c r="K125" i="3"/>
  <c r="K175" i="3"/>
  <c r="K10" i="3"/>
  <c r="K337" i="3"/>
  <c r="K319" i="3"/>
  <c r="K416" i="3"/>
  <c r="K335" i="3"/>
  <c r="K493" i="3"/>
  <c r="K243" i="3"/>
  <c r="K367" i="3"/>
  <c r="K441" i="3"/>
  <c r="K162" i="3"/>
  <c r="K317" i="3"/>
  <c r="K46" i="3"/>
  <c r="K429" i="3"/>
  <c r="K232" i="3"/>
  <c r="K531" i="3"/>
  <c r="K421" i="3"/>
  <c r="K500" i="3"/>
  <c r="K4" i="3"/>
  <c r="K309" i="3"/>
  <c r="K225" i="3"/>
  <c r="K324" i="3"/>
  <c r="K110" i="3"/>
  <c r="K7" i="3"/>
  <c r="K522" i="3"/>
  <c r="K336" i="3"/>
  <c r="K368" i="3"/>
  <c r="K121" i="3"/>
  <c r="K274" i="3"/>
  <c r="K14" i="3"/>
  <c r="K50" i="3"/>
  <c r="K276" i="3"/>
  <c r="K157" i="3"/>
  <c r="K457" i="3"/>
  <c r="K423" i="3"/>
  <c r="K270" i="3"/>
  <c r="K410" i="3"/>
  <c r="K511" i="3"/>
  <c r="K17" i="3"/>
  <c r="K444" i="3"/>
  <c r="K105" i="3"/>
  <c r="K66" i="3"/>
  <c r="K295" i="3"/>
  <c r="K447" i="3"/>
  <c r="K383" i="3"/>
  <c r="K294" i="3"/>
  <c r="K134" i="3"/>
  <c r="K118" i="3"/>
  <c r="K498" i="3"/>
  <c r="K252" i="3"/>
  <c r="K43" i="3"/>
  <c r="K388" i="3"/>
  <c r="K477" i="3"/>
  <c r="K174" i="3"/>
  <c r="K408" i="3"/>
  <c r="K133" i="3"/>
  <c r="K359" i="3"/>
  <c r="K512" i="3"/>
  <c r="K231" i="3"/>
  <c r="K377" i="3"/>
  <c r="K266" i="3"/>
  <c r="K223" i="3"/>
  <c r="K56" i="3"/>
  <c r="K268" i="3"/>
  <c r="K16" i="3"/>
  <c r="K470" i="3"/>
  <c r="K77" i="3"/>
  <c r="K250" i="3"/>
  <c r="K308" i="3"/>
  <c r="K301" i="3"/>
  <c r="K148" i="3"/>
  <c r="K484" i="3"/>
  <c r="K218" i="3"/>
  <c r="K334" i="3"/>
  <c r="K341" i="3"/>
  <c r="K261" i="3"/>
  <c r="K333" i="3"/>
  <c r="K28" i="3"/>
  <c r="K164" i="3"/>
  <c r="K385" i="3"/>
  <c r="K149" i="3"/>
  <c r="K93" i="3"/>
  <c r="K357" i="3"/>
  <c r="K79" i="3"/>
  <c r="K156" i="3"/>
  <c r="K372" i="3"/>
  <c r="K462" i="3"/>
  <c r="K490" i="3"/>
  <c r="K226" i="3"/>
  <c r="K471" i="3"/>
  <c r="K504" i="3"/>
  <c r="K153" i="3"/>
  <c r="K293" i="3"/>
  <c r="K405" i="3"/>
  <c r="K186" i="3"/>
  <c r="K460" i="3"/>
  <c r="K177" i="3"/>
  <c r="K179" i="3"/>
  <c r="K472" i="3"/>
  <c r="K313" i="3"/>
  <c r="K136" i="3"/>
  <c r="K340" i="3"/>
  <c r="K22" i="3"/>
  <c r="K207" i="3"/>
  <c r="K267" i="3"/>
  <c r="K284" i="3"/>
  <c r="K116" i="3"/>
  <c r="K404" i="3"/>
  <c r="K155" i="3"/>
  <c r="K113" i="3"/>
  <c r="K115" i="3"/>
  <c r="K169" i="3"/>
  <c r="K83" i="3"/>
  <c r="K278" i="3"/>
  <c r="K297" i="3"/>
  <c r="K434" i="3"/>
  <c r="K194" i="3"/>
  <c r="K392" i="3"/>
  <c r="K263" i="3"/>
  <c r="K150" i="3"/>
  <c r="K107" i="3"/>
  <c r="K328" i="3"/>
  <c r="K5" i="3"/>
  <c r="K244" i="3"/>
  <c r="K154" i="3"/>
  <c r="K101" i="3"/>
  <c r="K532" i="3"/>
  <c r="K394" i="3"/>
  <c r="K510" i="3"/>
  <c r="K496" i="3"/>
  <c r="K353" i="3"/>
  <c r="K111" i="3"/>
  <c r="K94" i="3"/>
  <c r="K205" i="3"/>
  <c r="K132" i="3"/>
  <c r="K513" i="3"/>
  <c r="K530" i="3"/>
  <c r="K310" i="3"/>
  <c r="K400" i="3"/>
  <c r="K283" i="3"/>
  <c r="K467" i="3"/>
  <c r="K395" i="3"/>
  <c r="K473" i="3"/>
  <c r="K114" i="3"/>
  <c r="K2" i="3"/>
  <c r="K262" i="3"/>
  <c r="K370" i="3"/>
  <c r="K393" i="3"/>
  <c r="K98" i="3"/>
  <c r="K360" i="3"/>
  <c r="K227" i="3"/>
  <c r="K258" i="3"/>
  <c r="K345" i="3"/>
  <c r="K464" i="3"/>
  <c r="K282" i="3"/>
  <c r="K247" i="3"/>
  <c r="K191" i="3"/>
  <c r="K358" i="3"/>
  <c r="K71" i="3"/>
  <c r="K206" i="3"/>
  <c r="K209" i="3"/>
  <c r="K299" i="3"/>
  <c r="K34" i="3"/>
  <c r="K279" i="3"/>
  <c r="K9" i="3"/>
  <c r="K355" i="3"/>
  <c r="K300" i="3"/>
  <c r="K535" i="3"/>
  <c r="K495" i="3"/>
  <c r="K11" i="3"/>
  <c r="K100" i="3"/>
  <c r="K406" i="3"/>
  <c r="K80" i="3"/>
  <c r="K119" i="3"/>
  <c r="K204" i="3"/>
  <c r="K158" i="3"/>
  <c r="K254" i="3"/>
  <c r="K106" i="3"/>
  <c r="K251" i="3"/>
  <c r="K48" i="3"/>
  <c r="K480" i="3"/>
  <c r="K450" i="3"/>
  <c r="K264" i="3"/>
  <c r="K296" i="3"/>
  <c r="K3" i="3"/>
  <c r="K57" i="3"/>
  <c r="K497" i="3"/>
  <c r="K489" i="3"/>
  <c r="K230" i="3"/>
  <c r="K492" i="3"/>
  <c r="K86" i="3"/>
  <c r="K120" i="3"/>
  <c r="K465" i="3"/>
  <c r="K286" i="3"/>
  <c r="K87" i="3"/>
  <c r="K70" i="3"/>
  <c r="K445" i="3"/>
  <c r="K49" i="3"/>
  <c r="K139" i="3"/>
  <c r="K39" i="3"/>
  <c r="K99" i="3"/>
  <c r="K525" i="3"/>
  <c r="K291" i="3"/>
  <c r="K529" i="3"/>
  <c r="K288" i="3"/>
  <c r="K138" i="3"/>
  <c r="K61" i="3"/>
  <c r="K42" i="3"/>
  <c r="K147" i="3"/>
  <c r="K27" i="3"/>
  <c r="K173" i="3"/>
  <c r="K237" i="3"/>
  <c r="K463" i="3"/>
  <c r="K23" i="3"/>
  <c r="K302" i="3"/>
  <c r="K249" i="3"/>
  <c r="K311" i="3"/>
  <c r="K539" i="3"/>
  <c r="K323" i="3"/>
  <c r="K356" i="3"/>
  <c r="K88" i="3"/>
  <c r="K59" i="3"/>
  <c r="K402" i="3"/>
  <c r="K151" i="3"/>
  <c r="K303" i="3"/>
  <c r="K440" i="3"/>
  <c r="K12" i="3"/>
  <c r="K514" i="3"/>
  <c r="K347" i="3"/>
  <c r="K436" i="3"/>
  <c r="K329" i="3"/>
  <c r="K229" i="3"/>
  <c r="K228" i="3"/>
  <c r="K183" i="3"/>
  <c r="K196" i="3"/>
  <c r="K485" i="3"/>
  <c r="K141" i="3"/>
  <c r="K314" i="3"/>
  <c r="K47" i="3"/>
  <c r="K346" i="3"/>
  <c r="K382" i="3"/>
  <c r="K351" i="3"/>
  <c r="K203" i="3"/>
  <c r="K326" i="3"/>
  <c r="K236" i="3"/>
  <c r="K494" i="3"/>
  <c r="K321" i="3"/>
  <c r="K32" i="3"/>
  <c r="K233" i="3"/>
  <c r="K84" i="3"/>
  <c r="K315" i="3"/>
  <c r="K265" i="3"/>
  <c r="K29" i="3"/>
  <c r="K454" i="3"/>
  <c r="K509" i="3"/>
  <c r="K26" i="3"/>
  <c r="K502" i="3"/>
  <c r="K305" i="3"/>
  <c r="K219" i="3"/>
  <c r="K475" i="3"/>
  <c r="K479" i="3"/>
  <c r="K352" i="3"/>
  <c r="K189" i="3"/>
  <c r="K35" i="3"/>
  <c r="K33" i="3"/>
  <c r="K44" i="3"/>
  <c r="K192" i="3"/>
  <c r="K438" i="3"/>
  <c r="K30" i="3"/>
  <c r="K208" i="3"/>
  <c r="K338" i="3"/>
  <c r="K501" i="3"/>
  <c r="K81" i="3"/>
  <c r="K380" i="3"/>
  <c r="K417" i="3"/>
  <c r="K306" i="3"/>
  <c r="K146" i="3"/>
  <c r="K398" i="3"/>
  <c r="K526" i="3"/>
  <c r="K371" i="3"/>
  <c r="K456" i="3"/>
  <c r="K15" i="3"/>
  <c r="K330" i="3"/>
  <c r="K24" i="3"/>
  <c r="K260" i="3"/>
  <c r="K216" i="3"/>
  <c r="K466" i="3"/>
  <c r="K449" i="3"/>
  <c r="K536" i="3"/>
  <c r="K540" i="3"/>
  <c r="K534" i="3"/>
  <c r="K420" i="3"/>
  <c r="K474" i="3"/>
  <c r="K241" i="3"/>
  <c r="K212" i="3"/>
  <c r="K75" i="3"/>
  <c r="K64" i="3"/>
  <c r="K167" i="3"/>
  <c r="K170" i="3"/>
  <c r="K246" i="3"/>
  <c r="K255" i="3"/>
  <c r="K439" i="3"/>
  <c r="K507" i="3"/>
  <c r="K401" i="3"/>
  <c r="K104" i="3"/>
  <c r="K108" i="3"/>
  <c r="K364" i="3"/>
  <c r="K486" i="3"/>
  <c r="K20" i="3"/>
  <c r="K92" i="3"/>
  <c r="K130" i="3"/>
  <c r="K527" i="3"/>
  <c r="K8" i="3"/>
  <c r="K515" i="3"/>
  <c r="K69" i="3"/>
  <c r="K418" i="3"/>
  <c r="K424" i="3"/>
  <c r="K503" i="3"/>
  <c r="K272" i="3"/>
  <c r="K198" i="3"/>
  <c r="K36" i="3"/>
  <c r="K459" i="3"/>
  <c r="K85" i="3"/>
  <c r="K461" i="3"/>
  <c r="K160" i="3"/>
  <c r="K409" i="3"/>
  <c r="K478" i="3"/>
  <c r="K51" i="3"/>
  <c r="K54" i="3"/>
  <c r="K476" i="3"/>
  <c r="K422" i="3"/>
  <c r="K506" i="3"/>
  <c r="E44" i="3" l="1"/>
  <c r="E482" i="3"/>
  <c r="E12" i="3"/>
  <c r="E308" i="3"/>
  <c r="E396" i="3"/>
  <c r="E10" i="3"/>
  <c r="E312" i="3"/>
  <c r="E402" i="3"/>
  <c r="E196" i="3"/>
  <c r="E244" i="3"/>
  <c r="E108" i="3"/>
  <c r="E376" i="3"/>
  <c r="E370" i="3"/>
  <c r="E452" i="3"/>
  <c r="E158" i="3"/>
  <c r="E310" i="3"/>
  <c r="E232" i="3"/>
  <c r="E522" i="3"/>
  <c r="E70" i="3"/>
  <c r="E162" i="3"/>
  <c r="E304" i="3"/>
  <c r="E146" i="3"/>
  <c r="E180" i="3"/>
  <c r="E450" i="3"/>
  <c r="E94" i="3"/>
  <c r="E406" i="3"/>
  <c r="E332" i="3"/>
  <c r="E322" i="3"/>
  <c r="E464" i="3"/>
  <c r="E106" i="3"/>
  <c r="E14" i="3"/>
  <c r="E152" i="3"/>
  <c r="E490" i="3"/>
  <c r="E284" i="3"/>
  <c r="E296" i="3"/>
  <c r="E174" i="3"/>
  <c r="E184" i="3"/>
  <c r="E386" i="3"/>
  <c r="E64" i="3"/>
  <c r="E538" i="3"/>
  <c r="E400" i="3"/>
  <c r="E524" i="3"/>
  <c r="E52" i="3"/>
  <c r="E234" i="3"/>
  <c r="E86" i="3"/>
  <c r="E484" i="3"/>
  <c r="E168" i="3"/>
  <c r="E120" i="3"/>
  <c r="E56" i="3"/>
  <c r="E416" i="3"/>
  <c r="E286" i="3"/>
  <c r="E320" i="3"/>
  <c r="E532" i="3"/>
  <c r="E494" i="3"/>
  <c r="E142" i="3"/>
  <c r="E504" i="3"/>
  <c r="E374" i="3"/>
  <c r="E434" i="3"/>
  <c r="E342" i="3"/>
  <c r="E328" i="3"/>
  <c r="E32" i="3"/>
  <c r="E264" i="3"/>
  <c r="E478" i="3"/>
  <c r="E198" i="3"/>
  <c r="E488" i="3"/>
  <c r="E224" i="3"/>
  <c r="E460" i="3"/>
  <c r="E498" i="3"/>
  <c r="E204" i="3"/>
  <c r="E122" i="3"/>
  <c r="E278" i="3"/>
  <c r="E214" i="3"/>
  <c r="E418" i="3"/>
  <c r="E294" i="3"/>
  <c r="E206" i="3"/>
  <c r="E354" i="3"/>
  <c r="E248" i="3"/>
  <c r="E226" i="3"/>
  <c r="E306" i="3"/>
  <c r="E398" i="3"/>
  <c r="E238" i="3"/>
  <c r="E18" i="3"/>
  <c r="E388" i="3"/>
  <c r="E150" i="3"/>
  <c r="E84" i="3"/>
  <c r="E282" i="3"/>
  <c r="E246" i="3"/>
  <c r="E480" i="3"/>
  <c r="E298" i="3"/>
  <c r="E260" i="3"/>
  <c r="E384" i="3"/>
  <c r="E266" i="3"/>
  <c r="E486" i="3"/>
  <c r="E534" i="3"/>
  <c r="E346" i="3"/>
  <c r="E212" i="3"/>
  <c r="E512" i="3"/>
  <c r="E316" i="3"/>
  <c r="E470" i="3"/>
  <c r="E220" i="3"/>
  <c r="E22" i="3"/>
  <c r="E410" i="3"/>
  <c r="E188" i="3"/>
  <c r="E90" i="3"/>
  <c r="E362" i="3"/>
  <c r="E210" i="3"/>
  <c r="E348" i="3"/>
  <c r="E124" i="3"/>
  <c r="E358" i="3"/>
  <c r="E476" i="3"/>
  <c r="E140" i="3"/>
  <c r="E380" i="3"/>
  <c r="E496" i="3"/>
  <c r="E378" i="3"/>
  <c r="E80" i="3"/>
  <c r="E118" i="3"/>
  <c r="E276" i="3"/>
  <c r="E218" i="3"/>
  <c r="E202" i="3"/>
  <c r="E110" i="3"/>
  <c r="E36" i="3"/>
  <c r="E334" i="3"/>
  <c r="E62" i="3"/>
  <c r="E528" i="3"/>
  <c r="E186" i="3"/>
  <c r="E506" i="3"/>
  <c r="E372" i="3"/>
  <c r="E516" i="3"/>
  <c r="E6" i="3"/>
  <c r="E144" i="3"/>
  <c r="E430" i="3"/>
  <c r="E366" i="3"/>
  <c r="E268" i="3"/>
  <c r="E92" i="3"/>
  <c r="E82" i="3"/>
  <c r="E228" i="3"/>
  <c r="E16" i="3"/>
  <c r="E178" i="3"/>
  <c r="E134" i="3"/>
  <c r="E164" i="3"/>
  <c r="E444" i="3"/>
  <c r="E242" i="3"/>
  <c r="E270" i="3"/>
  <c r="E280" i="3"/>
  <c r="E240" i="3"/>
  <c r="E394" i="3"/>
  <c r="E96" i="3"/>
  <c r="E222" i="3"/>
  <c r="E4" i="3"/>
  <c r="E172" i="3"/>
  <c r="E468" i="3"/>
  <c r="E390" i="3"/>
  <c r="E54" i="3"/>
  <c r="E314" i="3"/>
  <c r="E510" i="3"/>
  <c r="E292" i="3"/>
  <c r="E442" i="3"/>
  <c r="E132" i="3"/>
  <c r="E344" i="3"/>
  <c r="E194" i="3"/>
  <c r="E30" i="3"/>
  <c r="E254" i="3"/>
  <c r="E230" i="3"/>
  <c r="E26" i="3"/>
  <c r="E404" i="3"/>
  <c r="E458" i="3"/>
  <c r="E58" i="3"/>
  <c r="E50" i="3"/>
  <c r="E38" i="3"/>
  <c r="E326" i="3"/>
  <c r="E392" i="3"/>
  <c r="E72" i="3"/>
  <c r="E432" i="3"/>
  <c r="E258" i="3"/>
  <c r="E236" i="3"/>
  <c r="E74" i="3"/>
  <c r="E466" i="3"/>
  <c r="E492" i="3"/>
  <c r="E156" i="3"/>
  <c r="E412" i="3"/>
  <c r="E2" i="3"/>
  <c r="E200" i="3"/>
  <c r="E262" i="3"/>
  <c r="E324" i="3"/>
  <c r="E102" i="3"/>
  <c r="E502" i="3"/>
  <c r="E42" i="3"/>
  <c r="E100" i="3"/>
  <c r="E34" i="3"/>
  <c r="E116" i="3"/>
  <c r="E182" i="3"/>
  <c r="E160" i="3"/>
  <c r="E48" i="3"/>
  <c r="E520" i="3"/>
  <c r="E104" i="3"/>
  <c r="E190" i="3"/>
  <c r="E126" i="3"/>
  <c r="E24" i="3"/>
  <c r="E252" i="3"/>
  <c r="E274" i="3"/>
  <c r="E272" i="3"/>
  <c r="E336" i="3"/>
  <c r="E508" i="3"/>
  <c r="E500" i="3"/>
  <c r="E474" i="3"/>
  <c r="E424" i="3"/>
  <c r="E368" i="3"/>
  <c r="E408" i="3"/>
  <c r="E414" i="3"/>
  <c r="E446" i="3"/>
  <c r="E128" i="3"/>
  <c r="E352" i="3"/>
  <c r="E518" i="3"/>
  <c r="E422" i="3"/>
  <c r="E420" i="3"/>
  <c r="E170" i="3"/>
  <c r="E454" i="3"/>
  <c r="E216" i="3"/>
  <c r="E166" i="3"/>
  <c r="E536" i="3"/>
  <c r="E136" i="3"/>
  <c r="E540" i="3"/>
  <c r="E290" i="3"/>
  <c r="E60" i="3"/>
  <c r="E300" i="3"/>
  <c r="E112" i="3"/>
  <c r="E192" i="3"/>
  <c r="E448" i="3"/>
  <c r="E302" i="3"/>
  <c r="E76" i="3"/>
  <c r="E530" i="3"/>
  <c r="E138" i="3"/>
  <c r="E436" i="3"/>
  <c r="E318" i="3"/>
  <c r="E148" i="3"/>
  <c r="E428" i="3"/>
  <c r="E154" i="3"/>
  <c r="E514" i="3"/>
  <c r="E8" i="3"/>
  <c r="E176" i="3"/>
  <c r="E78" i="3"/>
  <c r="E338" i="3"/>
  <c r="E130" i="3"/>
  <c r="E462" i="3"/>
  <c r="E364" i="3"/>
  <c r="E66" i="3"/>
  <c r="E20" i="3"/>
  <c r="E426" i="3"/>
  <c r="E356" i="3"/>
  <c r="E68" i="3"/>
  <c r="E46" i="3"/>
  <c r="E288" i="3"/>
  <c r="E330" i="3"/>
  <c r="E472" i="3"/>
  <c r="E114" i="3"/>
  <c r="E28" i="3"/>
  <c r="E382" i="3"/>
  <c r="E456" i="3"/>
  <c r="E340" i="3"/>
  <c r="E208" i="3"/>
  <c r="E526" i="3"/>
  <c r="E98" i="3"/>
  <c r="E256" i="3"/>
  <c r="E438" i="3"/>
  <c r="E40" i="3"/>
  <c r="E360" i="3"/>
  <c r="E250" i="3"/>
  <c r="E350" i="3"/>
  <c r="E88" i="3"/>
  <c r="E440" i="3"/>
</calcChain>
</file>

<file path=xl/comments1.xml><?xml version="1.0" encoding="utf-8"?>
<comments xmlns="http://schemas.openxmlformats.org/spreadsheetml/2006/main">
  <authors>
    <author>Jacob C Galzki</author>
  </authors>
  <commentList>
    <comment ref="E11" authorId="0">
      <text>
        <r>
          <rPr>
            <b/>
            <sz val="9"/>
            <color indexed="81"/>
            <rFont val="Tahoma"/>
            <family val="2"/>
          </rPr>
          <t>Jacob C Galzki:</t>
        </r>
        <r>
          <rPr>
            <sz val="9"/>
            <color indexed="81"/>
            <rFont val="Tahoma"/>
            <family val="2"/>
          </rPr>
          <t xml:space="preserve">
Choose a reduced buffer width, this option cannot be left blank.</t>
        </r>
      </text>
    </comment>
    <comment ref="E12" authorId="0">
      <text>
        <r>
          <rPr>
            <b/>
            <sz val="9"/>
            <color indexed="81"/>
            <rFont val="Tahoma"/>
            <family val="2"/>
          </rPr>
          <t>Jacob C Galzki:</t>
        </r>
        <r>
          <rPr>
            <sz val="9"/>
            <color indexed="81"/>
            <rFont val="Tahoma"/>
            <family val="2"/>
          </rPr>
          <t xml:space="preserve">
Enter a value between 1 and 100</t>
        </r>
      </text>
    </comment>
    <comment ref="E13" authorId="0">
      <text>
        <r>
          <rPr>
            <b/>
            <sz val="9"/>
            <color indexed="81"/>
            <rFont val="Tahoma"/>
            <family val="2"/>
          </rPr>
          <t>Jacob C Galzki:</t>
        </r>
        <r>
          <rPr>
            <sz val="9"/>
            <color indexed="81"/>
            <rFont val="Tahoma"/>
            <family val="2"/>
          </rPr>
          <t xml:space="preserve">
Enter a value between 1 and 100</t>
        </r>
      </text>
    </comment>
    <comment ref="E14" authorId="0">
      <text>
        <r>
          <rPr>
            <b/>
            <sz val="9"/>
            <color indexed="81"/>
            <rFont val="Tahoma"/>
            <family val="2"/>
          </rPr>
          <t>Jacob C Galzki:</t>
        </r>
        <r>
          <rPr>
            <sz val="9"/>
            <color indexed="81"/>
            <rFont val="Tahoma"/>
            <family val="2"/>
          </rPr>
          <t xml:space="preserve">
Enter a value between 1 and 100</t>
        </r>
      </text>
    </comment>
    <comment ref="E15" authorId="0">
      <text>
        <r>
          <rPr>
            <b/>
            <sz val="9"/>
            <color indexed="81"/>
            <rFont val="Tahoma"/>
            <family val="2"/>
          </rPr>
          <t>Jacob C Galzki:</t>
        </r>
        <r>
          <rPr>
            <sz val="9"/>
            <color indexed="81"/>
            <rFont val="Tahoma"/>
            <family val="2"/>
          </rPr>
          <t xml:space="preserve">
Enter a value between 1 and 100</t>
        </r>
      </text>
    </comment>
    <comment ref="E16" authorId="0">
      <text>
        <r>
          <rPr>
            <b/>
            <sz val="9"/>
            <color indexed="81"/>
            <rFont val="Tahoma"/>
            <family val="2"/>
          </rPr>
          <t>Jacob C Galzki:</t>
        </r>
        <r>
          <rPr>
            <sz val="9"/>
            <color indexed="81"/>
            <rFont val="Tahoma"/>
            <family val="2"/>
          </rPr>
          <t xml:space="preserve">
Enter a value between 1 and 100</t>
        </r>
      </text>
    </comment>
    <comment ref="E17" authorId="0">
      <text>
        <r>
          <rPr>
            <b/>
            <sz val="9"/>
            <color indexed="81"/>
            <rFont val="Tahoma"/>
            <family val="2"/>
          </rPr>
          <t>Jacob C Galzki:</t>
        </r>
        <r>
          <rPr>
            <sz val="9"/>
            <color indexed="81"/>
            <rFont val="Tahoma"/>
            <family val="2"/>
          </rPr>
          <t xml:space="preserve">
Enter a value between 1 and 100</t>
        </r>
      </text>
    </comment>
  </commentList>
</comments>
</file>

<file path=xl/comments2.xml><?xml version="1.0" encoding="utf-8"?>
<comments xmlns="http://schemas.openxmlformats.org/spreadsheetml/2006/main">
  <authors>
    <author>Jacob C Galzki</author>
  </authors>
  <commentList>
    <comment ref="R1" authorId="0">
      <text>
        <r>
          <rPr>
            <b/>
            <sz val="9"/>
            <color indexed="81"/>
            <rFont val="Tahoma"/>
            <family val="2"/>
          </rPr>
          <t>Jacob C Galzki:</t>
        </r>
        <r>
          <rPr>
            <sz val="9"/>
            <color indexed="81"/>
            <rFont val="Tahoma"/>
            <family val="2"/>
          </rPr>
          <t xml:space="preserve">
removed from analysis</t>
        </r>
      </text>
    </comment>
    <comment ref="T1" authorId="0">
      <text>
        <r>
          <rPr>
            <b/>
            <sz val="9"/>
            <color indexed="81"/>
            <rFont val="Tahoma"/>
            <family val="2"/>
          </rPr>
          <t>Jacob C Galzki:</t>
        </r>
        <r>
          <rPr>
            <sz val="9"/>
            <color indexed="81"/>
            <rFont val="Tahoma"/>
            <family val="2"/>
          </rPr>
          <t xml:space="preserve">
Numbers from Dosskey used in place of these due to higher site-specificity</t>
        </r>
      </text>
    </comment>
    <comment ref="AC38" authorId="0">
      <text>
        <r>
          <rPr>
            <b/>
            <sz val="9"/>
            <color indexed="81"/>
            <rFont val="Tahoma"/>
            <family val="2"/>
          </rPr>
          <t>Jacob C Galzki:</t>
        </r>
        <r>
          <rPr>
            <sz val="9"/>
            <color indexed="81"/>
            <rFont val="Tahoma"/>
            <family val="2"/>
          </rPr>
          <t xml:space="preserve">
http://digitalcommons.unl.edu/cgi/viewcontent.cgi?article=1933&amp;context=usgsstaffpub</t>
        </r>
      </text>
    </comment>
  </commentList>
</comments>
</file>

<file path=xl/comments3.xml><?xml version="1.0" encoding="utf-8"?>
<comments xmlns="http://schemas.openxmlformats.org/spreadsheetml/2006/main">
  <authors>
    <author>Jacob C Galzki</author>
  </authors>
  <commentList>
    <comment ref="O1" authorId="0">
      <text>
        <r>
          <rPr>
            <b/>
            <sz val="9"/>
            <color indexed="81"/>
            <rFont val="Tahoma"/>
            <family val="2"/>
          </rPr>
          <t>Jacob C Galzki:</t>
        </r>
        <r>
          <rPr>
            <sz val="9"/>
            <color indexed="81"/>
            <rFont val="Tahoma"/>
            <family val="2"/>
          </rPr>
          <t xml:space="preserve">
1(sediment), 2(water/dissolved)</t>
        </r>
      </text>
    </comment>
  </commentList>
</comments>
</file>

<file path=xl/sharedStrings.xml><?xml version="1.0" encoding="utf-8"?>
<sst xmlns="http://schemas.openxmlformats.org/spreadsheetml/2006/main" count="2731" uniqueCount="400">
  <si>
    <t>Average</t>
  </si>
  <si>
    <t>Best</t>
  </si>
  <si>
    <t>Fall Tillage</t>
  </si>
  <si>
    <t>Moldboard Plow</t>
  </si>
  <si>
    <t>Chisel/heavy disk/strip/injections</t>
  </si>
  <si>
    <t>Light Disk</t>
  </si>
  <si>
    <t>Fertilizer Incorporation</t>
  </si>
  <si>
    <t>Broadcast/not incorporated</t>
  </si>
  <si>
    <t>Disk large</t>
  </si>
  <si>
    <t>Chisel</t>
  </si>
  <si>
    <t>Manure Incorporation</t>
  </si>
  <si>
    <t>Residue cover</t>
  </si>
  <si>
    <t>&lt;5%</t>
  </si>
  <si>
    <t>5-20%</t>
  </si>
  <si>
    <t>&gt;20%</t>
  </si>
  <si>
    <t>Tillage orientation</t>
  </si>
  <si>
    <t>Up and down slope</t>
  </si>
  <si>
    <t>Cross Slope</t>
  </si>
  <si>
    <t>Alluvium &amp; Outwash</t>
  </si>
  <si>
    <t>Anoka Sand Plains</t>
  </si>
  <si>
    <t>Blufflands</t>
  </si>
  <si>
    <t>Central Till</t>
  </si>
  <si>
    <t>Coteau</t>
  </si>
  <si>
    <t>Drumlins</t>
  </si>
  <si>
    <t>Dryer BE Till</t>
  </si>
  <si>
    <t>Dryer Clays &amp; Silts</t>
  </si>
  <si>
    <t>Dryer Till</t>
  </si>
  <si>
    <t>Inner Coteau</t>
  </si>
  <si>
    <t>Inter-Beach Sand Bars</t>
  </si>
  <si>
    <t>Level Plains</t>
  </si>
  <si>
    <t>Mahnomen Lake Sediments</t>
  </si>
  <si>
    <t>Poorly Drained BE Till</t>
  </si>
  <si>
    <t>Poorly Drained Lake Sedimen</t>
  </si>
  <si>
    <t>Rochester Plateau</t>
  </si>
  <si>
    <t>Rolling Moraine</t>
  </si>
  <si>
    <t>Somewhat Poorly Drained Lake</t>
  </si>
  <si>
    <t>Steep Dryer Moraine</t>
  </si>
  <si>
    <t>Steep Stream Banks</t>
  </si>
  <si>
    <t>Steep Valley Walls</t>
  </si>
  <si>
    <t>Steep Wetter Moraine</t>
  </si>
  <si>
    <t>Steeper Alluvium</t>
  </si>
  <si>
    <t>Steeper Till</t>
  </si>
  <si>
    <t>Stream Banks</t>
  </si>
  <si>
    <t>Swelling Clay Lake Sediments</t>
  </si>
  <si>
    <t>Undulating Plains</t>
  </si>
  <si>
    <t>Very Poorly Drained Lake Sedi</t>
  </si>
  <si>
    <t>Wetter BE Till</t>
  </si>
  <si>
    <t>Wetter Clays &amp; Silts</t>
  </si>
  <si>
    <t>Agroecoregion</t>
  </si>
  <si>
    <t>Field Length</t>
  </si>
  <si>
    <t>Average Slope</t>
  </si>
  <si>
    <t>C Factor</t>
  </si>
  <si>
    <t>Representative Initial Line #</t>
  </si>
  <si>
    <t>Field Length Adjustment</t>
  </si>
  <si>
    <t>Slope Adjustment</t>
  </si>
  <si>
    <t>C Factor Adjustment</t>
  </si>
  <si>
    <t>Soil Text Adjustment</t>
  </si>
  <si>
    <t>Name</t>
  </si>
  <si>
    <t xml:space="preserve">C_new </t>
  </si>
  <si>
    <t>Final Line # (Total P)</t>
  </si>
  <si>
    <t>Final Line # (Sediment)</t>
  </si>
  <si>
    <t>Rep Field Length</t>
  </si>
  <si>
    <t>Rep Slope</t>
  </si>
  <si>
    <t>Rep C Fact</t>
  </si>
  <si>
    <t>Rep Soil Text</t>
  </si>
  <si>
    <t>Rep Pollutant</t>
  </si>
  <si>
    <t>Total P Adjustment</t>
  </si>
  <si>
    <t>Sediment Adjustment</t>
  </si>
  <si>
    <t>Fertlizer Rate</t>
  </si>
  <si>
    <t>U of M Recommendations</t>
  </si>
  <si>
    <t>Soil Test P (Bray PPM)</t>
  </si>
  <si>
    <t>125% (worst mgmt)</t>
  </si>
  <si>
    <t>P BMP Rates (P2O5 lb/ac)</t>
  </si>
  <si>
    <t>U of M Recs (P2O5 lb/ac)</t>
  </si>
  <si>
    <t>Average0</t>
  </si>
  <si>
    <t>Average16</t>
  </si>
  <si>
    <t>Average50</t>
  </si>
  <si>
    <t>Best0</t>
  </si>
  <si>
    <t>Best16</t>
  </si>
  <si>
    <t>Best50</t>
  </si>
  <si>
    <t>Very Poorly Drained Lake Sed</t>
  </si>
  <si>
    <t xml:space="preserve">Wetter Blue Earth Till </t>
  </si>
  <si>
    <t>Wetter Clays and silts</t>
  </si>
  <si>
    <t>Crop year</t>
  </si>
  <si>
    <t>County</t>
  </si>
  <si>
    <t>Mgmt system name</t>
  </si>
  <si>
    <t>P Fertilizer Rate Lbs/ac P2O5</t>
  </si>
  <si>
    <t>Alluvium and Outwash</t>
  </si>
  <si>
    <t>Dryer Blue Earth Till</t>
  </si>
  <si>
    <t>Dryer Clays and Silts</t>
  </si>
  <si>
    <t>Poorly Drained Blue Earth Till</t>
  </si>
  <si>
    <t>Poorly Drained Lake Sediments</t>
  </si>
  <si>
    <t>Somewhat Poorly Drained Lake Sed</t>
  </si>
  <si>
    <t>Swelling Clay Lake Sed</t>
  </si>
  <si>
    <t>Reference Column</t>
  </si>
  <si>
    <t>Reference Cell</t>
  </si>
  <si>
    <t>Command</t>
  </si>
  <si>
    <t>E</t>
  </si>
  <si>
    <t>D</t>
  </si>
  <si>
    <t>C</t>
  </si>
  <si>
    <t>Forumula</t>
  </si>
  <si>
    <t/>
  </si>
  <si>
    <t>P Fertilizer Rate'!</t>
  </si>
  <si>
    <t>Total Sediment Export (t/ac/yr)</t>
  </si>
  <si>
    <t>Baseline - No Buffer Considered</t>
  </si>
  <si>
    <t>Public Ditch - 16.5' Buffer</t>
  </si>
  <si>
    <t>% Sediment Reduction from 16.5 ' buffer</t>
  </si>
  <si>
    <t>% Phosphorus Reduction from 16.5' buffer</t>
  </si>
  <si>
    <t>Public Water - 50' Buffer</t>
  </si>
  <si>
    <t>% Sediment Reduction from 50 ' buffer</t>
  </si>
  <si>
    <t>% Phosphorus Reduction from 50' buffer</t>
  </si>
  <si>
    <t>Average Mgmt</t>
  </si>
  <si>
    <t>Best Mgmt</t>
  </si>
  <si>
    <t>Coeficient a (Total P)</t>
  </si>
  <si>
    <t>Coefficient b (Total P)</t>
  </si>
  <si>
    <t>Coeficient a (Sediment)</t>
  </si>
  <si>
    <t>Coefficient b (Sediment)</t>
  </si>
  <si>
    <t>C_worst</t>
  </si>
  <si>
    <t>C_best</t>
  </si>
  <si>
    <t>Worst management multiplier</t>
  </si>
  <si>
    <t>Best Management multiplier</t>
  </si>
  <si>
    <t>Total Phosphorus Export (lbs P/ac/yr)</t>
  </si>
  <si>
    <t>P export from P Index Risk</t>
  </si>
  <si>
    <t>% Reduction</t>
  </si>
  <si>
    <t>Management Practice</t>
  </si>
  <si>
    <t>0 to 16.5</t>
  </si>
  <si>
    <t>16.5 to 50</t>
  </si>
  <si>
    <t>0 to 50</t>
  </si>
  <si>
    <t>% Reduction based on buffer installment</t>
  </si>
  <si>
    <t>Sediment</t>
  </si>
  <si>
    <t>Phosphorus</t>
  </si>
  <si>
    <t>Avg to Best</t>
  </si>
  <si>
    <t>% Reduction based on Management changes</t>
  </si>
  <si>
    <t>Contour Buffer Strips</t>
  </si>
  <si>
    <t>Cover Crops</t>
  </si>
  <si>
    <t>Conservation Crop Rotation</t>
  </si>
  <si>
    <t>Pasture/Hay Planting</t>
  </si>
  <si>
    <t>Conservation Tillage</t>
  </si>
  <si>
    <t>Contour Stripcropping</t>
  </si>
  <si>
    <t>Grassed Waterways</t>
  </si>
  <si>
    <t>Terraces</t>
  </si>
  <si>
    <t>Critical Area Planting</t>
  </si>
  <si>
    <t>Filter Strips</t>
  </si>
  <si>
    <t>WaSCoB</t>
  </si>
  <si>
    <t>Constructed Wetland</t>
  </si>
  <si>
    <t>Sed.</t>
  </si>
  <si>
    <t>P</t>
  </si>
  <si>
    <t>L</t>
  </si>
  <si>
    <t>M</t>
  </si>
  <si>
    <t>H</t>
  </si>
  <si>
    <t>Restored Wetland (Riparian)</t>
  </si>
  <si>
    <t xml:space="preserve"> L-M</t>
  </si>
  <si>
    <t xml:space="preserve">  </t>
  </si>
  <si>
    <t xml:space="preserve">  L-M</t>
  </si>
  <si>
    <t xml:space="preserve">  M</t>
  </si>
  <si>
    <t xml:space="preserve">  M-H</t>
  </si>
  <si>
    <t>83-91</t>
  </si>
  <si>
    <t>Statewide Removal %</t>
  </si>
  <si>
    <t>Applies only to steep fields</t>
  </si>
  <si>
    <t>30-94</t>
  </si>
  <si>
    <t>49-80</t>
  </si>
  <si>
    <t>20-50</t>
  </si>
  <si>
    <t>32-92</t>
  </si>
  <si>
    <t>43-95</t>
  </si>
  <si>
    <t>70-85</t>
  </si>
  <si>
    <t>77-97</t>
  </si>
  <si>
    <t>80-95</t>
  </si>
  <si>
    <t>76-91</t>
  </si>
  <si>
    <t>38-96</t>
  </si>
  <si>
    <t>64-99</t>
  </si>
  <si>
    <t>74-80</t>
  </si>
  <si>
    <t>71-74</t>
  </si>
  <si>
    <t>P Reduction (lbs P/ac/yr)</t>
  </si>
  <si>
    <t>Sediment Reduction (t/ac/yr)</t>
  </si>
  <si>
    <t>Public Ditch - 16.5' Buffer Reductions in Export</t>
  </si>
  <si>
    <t>Public Water - 50' Buffer Reductions In Export</t>
  </si>
  <si>
    <t>Final Line # (Total P with berm)</t>
  </si>
  <si>
    <t>Final Line # (Sediment with berm)</t>
  </si>
  <si>
    <t>Coeficient a (Total P w/berm)</t>
  </si>
  <si>
    <t>Coefficient b (Total P w/berm)</t>
  </si>
  <si>
    <t>Coeficient a (Sediment w/berm)</t>
  </si>
  <si>
    <t>Coefficient b (Sediment w/berm)</t>
  </si>
  <si>
    <t>Current Management Condition</t>
  </si>
  <si>
    <t>Poor</t>
  </si>
  <si>
    <t>Baseline</t>
  </si>
  <si>
    <t>Sediment Export Reduction (t/ac/yr)</t>
  </si>
  <si>
    <t>Sediment Export (t/ac/yr)</t>
  </si>
  <si>
    <t>Total P Export (lbs P/ac/yr)</t>
  </si>
  <si>
    <t>Phosphorus Export Reduction (lbs P/ac/yr)</t>
  </si>
  <si>
    <t>Baseline Sediment Export (t/ac/yr)</t>
  </si>
  <si>
    <t>Baseline Phosphorus Export (lbs P/ac/yr)</t>
  </si>
  <si>
    <t xml:space="preserve">Average Fanmap Rates </t>
  </si>
  <si>
    <t>125% Fanmap Rates</t>
  </si>
  <si>
    <t>Grade Stabilization</t>
  </si>
  <si>
    <t>Avg SPI</t>
  </si>
  <si>
    <t>Field Length Addition</t>
  </si>
  <si>
    <t xml:space="preserve">Sediment delivery from RUSLE2
</t>
  </si>
  <si>
    <t xml:space="preserve">Hydro-logic group
</t>
  </si>
  <si>
    <t xml:space="preserve">Soil texture and pH
</t>
  </si>
  <si>
    <t xml:space="preserve">Percent
OM
(%)
</t>
  </si>
  <si>
    <t>Olsen P ppm (no formula)</t>
  </si>
  <si>
    <t xml:space="preserve">Test year
</t>
  </si>
  <si>
    <t xml:space="preserve">Sedi-ment traps
</t>
  </si>
  <si>
    <t xml:space="preserve">Dist. to water (ft.)
</t>
  </si>
  <si>
    <t>Current crop type</t>
  </si>
  <si>
    <t xml:space="preserve">Residue cover after planting
</t>
  </si>
  <si>
    <t xml:space="preserve">Last year's crop
</t>
  </si>
  <si>
    <t xml:space="preserve">Last year's crop yield
</t>
  </si>
  <si>
    <t xml:space="preserve">Tillage last fall
</t>
  </si>
  <si>
    <t xml:space="preserve">Tillage orient-ation
</t>
  </si>
  <si>
    <t xml:space="preserve">Anhyd-rous ammonia 
</t>
  </si>
  <si>
    <t>Fert. applica-tion and incorp. method</t>
  </si>
  <si>
    <t>lbs P2O5/acre applied this crop year (pre-soil test )</t>
  </si>
  <si>
    <t>post-soil test</t>
  </si>
  <si>
    <t>lbs P2O5/acre applied this crop year (not incorporated)</t>
  </si>
  <si>
    <t>Manure applica-tion and incorp. method</t>
  </si>
  <si>
    <t xml:space="preserve">pre-soil test </t>
  </si>
  <si>
    <t>B</t>
  </si>
  <si>
    <t>n</t>
  </si>
  <si>
    <t>A</t>
  </si>
  <si>
    <t>old field length</t>
  </si>
  <si>
    <t>Addition for berm</t>
  </si>
  <si>
    <t>Sediment Delivery</t>
  </si>
  <si>
    <t>Sediment Yield (t/ac/yr)</t>
  </si>
  <si>
    <t>P Index Result</t>
  </si>
  <si>
    <t>P Yield (lb P/ac/yr)</t>
  </si>
  <si>
    <t>Berms?</t>
  </si>
  <si>
    <t>Yes</t>
  </si>
  <si>
    <t>No</t>
  </si>
  <si>
    <t>Soil Texture</t>
  </si>
  <si>
    <t>Average field Slope</t>
  </si>
  <si>
    <t>Coeficient a</t>
  </si>
  <si>
    <t>Coefficient b</t>
  </si>
  <si>
    <t>Initial Reference Line</t>
  </si>
  <si>
    <t>C Factor Standard Adjustment</t>
  </si>
  <si>
    <t>Reference Slope</t>
  </si>
  <si>
    <t>Slope Classes</t>
  </si>
  <si>
    <t>0 - 2.5 %</t>
  </si>
  <si>
    <t>2.5% - 5%</t>
  </si>
  <si>
    <t>5% - 7.5%</t>
  </si>
  <si>
    <t>7.5% - 10%</t>
  </si>
  <si>
    <t>10% - 12.5%</t>
  </si>
  <si>
    <t>12.5% - 15%</t>
  </si>
  <si>
    <t>15% - 17.5%</t>
  </si>
  <si>
    <t>17.5% - 20%</t>
  </si>
  <si>
    <t>20% - 22.5%</t>
  </si>
  <si>
    <t>22.5% - 25%</t>
  </si>
  <si>
    <t>25% - 27.5%</t>
  </si>
  <si>
    <t>27.5% - 30%</t>
  </si>
  <si>
    <t>30% - 32.5%</t>
  </si>
  <si>
    <t>32.5% - 35%</t>
  </si>
  <si>
    <t>35% - 37.5%</t>
  </si>
  <si>
    <t>37.5% - 40%</t>
  </si>
  <si>
    <t>40% - 42.5%</t>
  </si>
  <si>
    <t>42.5% - 45%</t>
  </si>
  <si>
    <t>&gt;45%</t>
  </si>
  <si>
    <t>Reference Soil Texture</t>
  </si>
  <si>
    <t>Soil Texture Adjustment</t>
  </si>
  <si>
    <t>Total P Reference Line</t>
  </si>
  <si>
    <t>Reference Pollutant</t>
  </si>
  <si>
    <t>Pollutant Adjustment</t>
  </si>
  <si>
    <t>Sediment Reference Line</t>
  </si>
  <si>
    <t>Final Sediment Line #</t>
  </si>
  <si>
    <t>Final Total P Line #</t>
  </si>
  <si>
    <t>Total P Removal % (50' Buffer)</t>
  </si>
  <si>
    <t>Total P Removal % (16.5' Buffer)</t>
  </si>
  <si>
    <t>Sediment Removal % (16.5' Buffer)</t>
  </si>
  <si>
    <t>Sediment Removal % (50' Buffer)</t>
  </si>
  <si>
    <t>Chisel/heavy disk</t>
  </si>
  <si>
    <t>Buffer Width Required</t>
  </si>
  <si>
    <t>Buffer Width</t>
  </si>
  <si>
    <t>16.5' (Public Ditch)</t>
  </si>
  <si>
    <t>50' (Public Water)</t>
  </si>
  <si>
    <t>Phosphorus Reduction Goal (lbs P/ac/yr)</t>
  </si>
  <si>
    <t>Alternative BMP Choices</t>
  </si>
  <si>
    <t>Best Management Practice (NRCS Standard #)</t>
  </si>
  <si>
    <t>Conservation Crop Rotation (328)</t>
  </si>
  <si>
    <t>Cover Crops (340)</t>
  </si>
  <si>
    <t>Contour Buffer Strips (332)</t>
  </si>
  <si>
    <t>Contour Stripcropping (585)</t>
  </si>
  <si>
    <t>Grassed Waterway (412)</t>
  </si>
  <si>
    <t>Terraces (600)</t>
  </si>
  <si>
    <t>Water and Sediment Control Basin (638)</t>
  </si>
  <si>
    <t>Wetland Restoration (657)</t>
  </si>
  <si>
    <t>Wetland Construction (658)</t>
  </si>
  <si>
    <t>Representative Removal %</t>
  </si>
  <si>
    <t>Acceptable BMP Combination?</t>
  </si>
  <si>
    <t>Management Condition Examples</t>
  </si>
  <si>
    <t>Are riparian berms present that interrupt sheet flow?</t>
  </si>
  <si>
    <t>Poor Mgmt</t>
  </si>
  <si>
    <t>Poor to Avg</t>
  </si>
  <si>
    <t>Poor to Best</t>
  </si>
  <si>
    <t>Poor 0</t>
  </si>
  <si>
    <t>Poor16</t>
  </si>
  <si>
    <t>Poor50</t>
  </si>
  <si>
    <t>Length (m) needed to reach P goal</t>
  </si>
  <si>
    <t>Removal % of current suite</t>
  </si>
  <si>
    <t>Length (ft) needed to reach P goal</t>
  </si>
  <si>
    <t>Minimum buffer width (m) to reach P Goal</t>
  </si>
  <si>
    <t>Minimum buffer width (ft) to reach P Goal</t>
  </si>
  <si>
    <t>Additional removal needed</t>
  </si>
  <si>
    <t>2-100</t>
  </si>
  <si>
    <t>46.5-82.25</t>
  </si>
  <si>
    <t>"Steep Field" Representative Removal</t>
  </si>
  <si>
    <t>BMP ref</t>
  </si>
  <si>
    <t>Side Inlets (410)</t>
  </si>
  <si>
    <t>Reduced Buffer Widths</t>
  </si>
  <si>
    <t>Reduced Width Buffer Options (Feet)</t>
  </si>
  <si>
    <t>Total P Removal % of reduced width buffer</t>
  </si>
  <si>
    <t>Sediment Removal % of reduced width buffer</t>
  </si>
  <si>
    <t>Total Reduction of selected BMPs</t>
  </si>
  <si>
    <t>Enter % of total field runoff that drains to WASCOB</t>
  </si>
  <si>
    <t>Enter % of total field runoff that drains to side inlets</t>
  </si>
  <si>
    <t>Enter % of total field runoff that drains to grassed waterways</t>
  </si>
  <si>
    <t>Description</t>
  </si>
  <si>
    <t>B5</t>
  </si>
  <si>
    <t>B6</t>
  </si>
  <si>
    <t>Use the drop down list to select the agroecoregion where the parcel of land is located.  Spatial agroecoregion data can be found here: https://gisdata.mn.gov/dataset/agri-agroecoregions</t>
  </si>
  <si>
    <t>B7</t>
  </si>
  <si>
    <t>Select "Yes" in this drop down list if riparian berms are present along all surface waters that divert typical sheet flows and cause water to enter streams and ditches at concentrated locations (ex. Gullies, side-inlets, artificial drainage structures, etc.).  If berms are not present and overland runoff largely exists as sheet flow, select "No" for this option.</t>
  </si>
  <si>
    <t>Vegetative Buffer Reduction Goal</t>
  </si>
  <si>
    <t>Input Title</t>
  </si>
  <si>
    <t>B13</t>
  </si>
  <si>
    <t>Select a 50 foot buffer where required for public waters, and a 16.5 foot buffer for public ditches.  A statewide map that determines site-specific requirements can be found at: http://arcgis.dnr.state.mn.us/gis/buffersviewer/</t>
  </si>
  <si>
    <t>Average Field Slope</t>
  </si>
  <si>
    <t>B14</t>
  </si>
  <si>
    <t>Define the site-specific field slope.  A drop down list is given with increments of 2.5% slope</t>
  </si>
  <si>
    <t>B15</t>
  </si>
  <si>
    <t>Model Output</t>
  </si>
  <si>
    <t>B8</t>
  </si>
  <si>
    <t>This value represents the average expected sediment export given the baseline site conditions selected.</t>
  </si>
  <si>
    <t>This value represents the average expected total phosphorus export given the baseline site conditions selected.</t>
  </si>
  <si>
    <t>B9</t>
  </si>
  <si>
    <t>Baseline Site Conditions without Vegetative Buffer</t>
  </si>
  <si>
    <t>Vegetative Buffer Water Quality Improvement Goals</t>
  </si>
  <si>
    <t>B16</t>
  </si>
  <si>
    <t>B17</t>
  </si>
  <si>
    <t>This value represents the expected sediment reduction from a vegetative buffer given user-defined site-specific characteristics.  It is the benchmark used to compare sediment reductions from combinations of alternative management practices.</t>
  </si>
  <si>
    <t>This value represents the expected total posphorus reduction from a vegetative buffer given user-defined site-specific characteristics.  It is the benchmark used to compare total phosphorus reductions from combinations of alternative management practices.</t>
  </si>
  <si>
    <t>Considerations for specific alternative practices</t>
  </si>
  <si>
    <t>Cell</t>
  </si>
  <si>
    <t>Reduced Width Buffer Options (feet)</t>
  </si>
  <si>
    <t>Percent of runoff draining to WASCOB</t>
  </si>
  <si>
    <t>Percent of runoff draining to Side Inlets</t>
  </si>
  <si>
    <t>Percent of runoff draining to Grassed Waterways</t>
  </si>
  <si>
    <t>Enter a whole number value between 0 and 100.  This number, determined by a regional conservation planner, represents the amount of surface runoff affected by the alternative practice in question.</t>
  </si>
  <si>
    <t>Alternative BMP Decision Tool</t>
  </si>
  <si>
    <t>Enter % of total field runoff that drains to wetland</t>
  </si>
  <si>
    <t>Instructions</t>
  </si>
  <si>
    <t>Vegetative Buffer Sediment Reduction Goal (t/ac/yr)</t>
  </si>
  <si>
    <t>Vegetative Buffer Phosphorus Reduction Goal (lbs P/ac/yr)</t>
  </si>
  <si>
    <t>Percent of runoff draining to Constructed Wetland</t>
  </si>
  <si>
    <t>Percent runoff draining to Restored Wetland</t>
  </si>
  <si>
    <t>When all baseline site conditions have been entered, navigate to the "Alternative BMP Choices" worksheet.</t>
  </si>
  <si>
    <t>Baseline Conditions Worksheet (STEP 1)</t>
  </si>
  <si>
    <t>Alternative BMP Choices Worksheet (STEP 2)</t>
  </si>
  <si>
    <t>Phosphorus Reduction (lb P/ac/yr)</t>
  </si>
  <si>
    <t>Reduced width Buffer (*)</t>
  </si>
  <si>
    <t>No-Till/Strip-Till (329)</t>
  </si>
  <si>
    <t>Field-wide Practices</t>
  </si>
  <si>
    <t>Low end removal (poor mgmt)</t>
  </si>
  <si>
    <t>Avg Mgmt removal</t>
  </si>
  <si>
    <t>Best Mgmt removal</t>
  </si>
  <si>
    <t xml:space="preserve">All practices within the best management condition must be met for this option to be chosen.  For example, if a field has light disk plowing, U of M recommended fertilizer rates, chisel manure and fertilizer incorporation, and maintains &gt;20% residue cover yet it has tillage up and down the slope of the field, it is considered to be in the poor management category for this analysis.  Note all practices within a specific field, and the worst practice, or practice that lands farthest to the left in this table, will qualify that field for its representative management condition. </t>
  </si>
  <si>
    <t>E11</t>
  </si>
  <si>
    <t>Enter % of total field affected by terraces</t>
  </si>
  <si>
    <t>E12</t>
  </si>
  <si>
    <t>Percent of field affected by Terraces</t>
  </si>
  <si>
    <t>E13</t>
  </si>
  <si>
    <t>E14</t>
  </si>
  <si>
    <t>E15</t>
  </si>
  <si>
    <t>E16</t>
  </si>
  <si>
    <t>E17</t>
  </si>
  <si>
    <t>Checkboxes located adjacent to alternative management practices can be either checked or unchecked.  When checked, the adjacent alternative practice is assumed to be installed.  Reductions for sediment and total phosphorus are then given and are included in the total reduction for the selected combination of practices (Cells C18 and D18).  If a reduction potential is listed as "0.00", this indicates the alternative management practice in question is not suitable based on site conditions selected.  A combination of alternative practices that successfully meets the benchmark standard for equivalent or better water quality improvements of a vegetative buffer will then trigger cells C20 and D20 to turn green.</t>
  </si>
  <si>
    <t>Based on the width of the buffer required, alternative reduced width buffer options are given in a drop down list.  Based on the width selected, reductions are indicated and automatically added to the total.  This option must be checked and a positive whole number must be selected for buffer width.  This tool does not allow or recommend having no buffer in place.</t>
  </si>
  <si>
    <t>No till/strip till</t>
  </si>
  <si>
    <t>13-64</t>
  </si>
  <si>
    <t>60-90</t>
  </si>
  <si>
    <t>8-60</t>
  </si>
  <si>
    <t>Trapping and Controlling Practices</t>
  </si>
  <si>
    <t>*Reduced width buffer design shall be in compliance with Buffer law, only at a narrower width specified here.  This tool does not recommed removing buffers altogether in any situation.  For the tool to yield a satisfactory result, the "Reduced width buffer" option must be selected, and a value must be chosen in the corresponding dialog box.</t>
  </si>
  <si>
    <t>Use the drop down list to select the management condition that best represents the current tillage and fertilizer practices.  Examples of the three options can be found in the "Management Condition Ex." Worksheet.</t>
  </si>
  <si>
    <t>Two worksheets in this spreadsheet require user input, the "(STEP 1) Baseline Conditions" worksheet and the "(STEP 2) Alternative BMP Choices" worksheet.  All required input cells are highlighted in yellow.  Instructions for user-defined cells are as follows:</t>
  </si>
  <si>
    <t>Survey Rates (P2O5 lb/ac)</t>
  </si>
  <si>
    <t>Surveyx125% (worst mgmt)</t>
  </si>
  <si>
    <t>County:</t>
  </si>
  <si>
    <t>Owner:</t>
  </si>
  <si>
    <t>Parcel ID:</t>
  </si>
  <si>
    <t>Date:</t>
  </si>
  <si>
    <r>
      <rPr>
        <b/>
        <u/>
        <sz val="12"/>
        <color theme="1"/>
        <rFont val="Calibri"/>
        <family val="2"/>
        <scheme val="minor"/>
      </rPr>
      <t>Yellow cells require user input.</t>
    </r>
    <r>
      <rPr>
        <sz val="12"/>
        <color theme="1"/>
        <rFont val="Calibri"/>
        <family val="2"/>
        <scheme val="minor"/>
      </rPr>
      <t xml:space="preserve"> Checkboxes located adjacent to alternative management practices can be either checked or unchecked.  When checked, the adjacent alternative practice is assumed to be installed.  Reductions for sediment and total phosphorus are then given and are included in the total reduction for the selected combination of practices (Cells C19 and D19).  For the reduced width buffer BMP, click on cell E11 in yellow for  a dropdown list of reduced width buffer options.  For practices that only affect portions of the field (ex. Grassed Waterway, side inlets, etc.), a whole number percentage must be entered in the yellow cell in the appropriate row that indicates the approximate percentage of field runoff that is treated by that specific installed practice.  If a reduction potential is listed as "0.00", this indicates a lack of defensible data regarding the alternative management practice in question based on site conditions selected or the percentage of field runoff the practice treats is set to 0.  A combination of alternative practices that successfully meets the benchmark standard for equivalent or better water quality improvements of a vegetative buffer will then trigger cells C20 and D20 to turn green.</t>
    </r>
  </si>
  <si>
    <t>Fertlizer Rate*</t>
  </si>
  <si>
    <t>125% Average Farmer Surveyed Rates*</t>
  </si>
  <si>
    <t>Average Farmer surveyed Rates *</t>
  </si>
  <si>
    <t>U of M Recommendations*</t>
  </si>
  <si>
    <t>*Fertilizer Rate Examples</t>
  </si>
  <si>
    <t>Coarse</t>
  </si>
  <si>
    <t>Medium</t>
  </si>
  <si>
    <t>Fine</t>
  </si>
  <si>
    <t>Define the site-specific soil texture.  A drop down list allows selections of coarse, medium, and fine.  Coarse soils include "Sand" and "Loamy Sand".  Medium Soils include "Coarse Sandy Loam", "Sandy Loam", "Fine Sandy Loam", "Very Fine Sandy Loam", "Loam", "Silt Loam", "Silt", "Clay Loam", "Sandy Clay Loam", and "Silty Clay Loam".  Fine Soils include "Sandy Clay", "Silty Clay", and "Clay".</t>
  </si>
  <si>
    <r>
      <rPr>
        <b/>
        <u/>
        <sz val="14"/>
        <color theme="1"/>
        <rFont val="Calibri"/>
        <family val="2"/>
        <scheme val="minor"/>
      </rPr>
      <t>Yellow Cells require user input</t>
    </r>
    <r>
      <rPr>
        <sz val="14"/>
        <color theme="1"/>
        <rFont val="Calibri"/>
        <family val="2"/>
        <scheme val="minor"/>
      </rPr>
      <t>.  Click on yellow cells and select your baseline site conditions using dropdown menus.  Once site conditions are selected, baseline expected contaminant export values are given (cells B8 and B9).  Then select the type of water in question (public water vs. public ditch) and further refine site slope and soil texture using drop down menus.  Coarse soils include "Sand" and "Loamy Sand".  Medium Soils include "Coarse Sandy Loam", "Sandy Loam", "Fine Sandy Loam", "Very Fine Sandy Loam", "Loam", "Silt Loam", "Silt", "Clay Loam", "Sandy Clay Loam", and "Silty Clay Loam".  Fine Soils include "Sandy Clay", "Silty Clay", and "Clay".  The tool will then update the expected reductions if the required buffer were installed based on site conditions (cells B16 and B17).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</si>
</sst>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000"/>
  </numFmts>
  <fonts count="19" x14ac:knownFonts="1">
    <font>
      <sz val="11"/>
      <color theme="1"/>
      <name val="Calibri"/>
      <family val="2"/>
      <scheme val="minor"/>
    </font>
    <font>
      <sz val="9"/>
      <color indexed="81"/>
      <name val="Tahoma"/>
      <family val="2"/>
    </font>
    <font>
      <b/>
      <sz val="9"/>
      <color indexed="81"/>
      <name val="Tahoma"/>
      <family val="2"/>
    </font>
    <font>
      <b/>
      <sz val="14"/>
      <color theme="1"/>
      <name val="Calibri"/>
      <family val="2"/>
      <scheme val="minor"/>
    </font>
    <font>
      <b/>
      <sz val="12"/>
      <color theme="1"/>
      <name val="Calibri"/>
      <family val="2"/>
      <scheme val="minor"/>
    </font>
    <font>
      <b/>
      <u/>
      <sz val="16"/>
      <color theme="1"/>
      <name val="Calibri"/>
      <family val="2"/>
      <scheme val="minor"/>
    </font>
    <font>
      <sz val="11"/>
      <color theme="1"/>
      <name val="Calibri"/>
      <family val="2"/>
      <scheme val="minor"/>
    </font>
    <font>
      <sz val="10"/>
      <color theme="1"/>
      <name val="Times New Roman"/>
      <family val="1"/>
    </font>
    <font>
      <b/>
      <sz val="10"/>
      <color theme="1"/>
      <name val="Arial"/>
      <family val="2"/>
    </font>
    <font>
      <sz val="10"/>
      <color theme="1"/>
      <name val="Arial"/>
      <family val="2"/>
    </font>
    <font>
      <b/>
      <sz val="11"/>
      <color theme="1"/>
      <name val="Calibri"/>
      <family val="2"/>
      <scheme val="minor"/>
    </font>
    <font>
      <sz val="14"/>
      <color theme="1"/>
      <name val="Calibri"/>
      <family val="2"/>
      <scheme val="minor"/>
    </font>
    <font>
      <sz val="9"/>
      <color theme="1"/>
      <name val="Calibri"/>
      <family val="2"/>
      <scheme val="minor"/>
    </font>
    <font>
      <b/>
      <sz val="16"/>
      <color theme="1"/>
      <name val="Calibri"/>
      <family val="2"/>
      <scheme val="minor"/>
    </font>
    <font>
      <sz val="12"/>
      <color theme="1"/>
      <name val="Calibri"/>
      <family val="2"/>
      <scheme val="minor"/>
    </font>
    <font>
      <b/>
      <u/>
      <sz val="18"/>
      <color theme="1"/>
      <name val="Calibri"/>
      <family val="2"/>
      <scheme val="minor"/>
    </font>
    <font>
      <b/>
      <u/>
      <sz val="14"/>
      <color theme="1"/>
      <name val="Calibri"/>
      <family val="2"/>
      <scheme val="minor"/>
    </font>
    <font>
      <b/>
      <u/>
      <sz val="12"/>
      <color theme="1"/>
      <name val="Calibri"/>
      <family val="2"/>
      <scheme val="minor"/>
    </font>
    <font>
      <sz val="10"/>
      <color theme="1"/>
      <name val="Calibri"/>
      <family val="2"/>
      <scheme val="minor"/>
    </font>
  </fonts>
  <fills count="31">
    <fill>
      <patternFill patternType="none"/>
    </fill>
    <fill>
      <patternFill patternType="gray125"/>
    </fill>
    <fill>
      <patternFill patternType="solid">
        <fgColor theme="5" tint="0.59999389629810485"/>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9" tint="-0.499984740745262"/>
        <bgColor indexed="64"/>
      </patternFill>
    </fill>
    <fill>
      <patternFill patternType="solid">
        <fgColor theme="9" tint="0.79998168889431442"/>
        <bgColor indexed="64"/>
      </patternFill>
    </fill>
    <fill>
      <patternFill patternType="solid">
        <fgColor theme="0" tint="-0.499984740745262"/>
        <bgColor indexed="64"/>
      </patternFill>
    </fill>
    <fill>
      <gradientFill type="path" left="0.5" right="0.5" top="0.5" bottom="0.5">
        <stop position="0">
          <color rgb="FFFFFF99"/>
        </stop>
        <stop position="1">
          <color rgb="FFFFC000"/>
        </stop>
      </gradientFill>
    </fill>
    <fill>
      <gradientFill type="path" left="0.5" right="0.5" top="0.5" bottom="0.5">
        <stop position="0">
          <color theme="3" tint="0.80001220740379042"/>
        </stop>
        <stop position="1">
          <color theme="4" tint="0.40000610370189521"/>
        </stop>
      </gradientFill>
    </fill>
    <fill>
      <gradientFill type="path" left="0.5" right="0.5" top="0.5" bottom="0.5">
        <stop position="0">
          <color theme="0" tint="-0.1490218817712943"/>
        </stop>
        <stop position="1">
          <color theme="0" tint="-0.34900967436750391"/>
        </stop>
      </gradientFill>
    </fill>
    <fill>
      <gradientFill type="path" left="0.5" right="0.5" top="0.5" bottom="0.5">
        <stop position="0">
          <color theme="0" tint="-0.1490218817712943"/>
        </stop>
        <stop position="1">
          <color theme="0" tint="-0.25098422193060094"/>
        </stop>
      </gradientFill>
    </fill>
    <fill>
      <gradientFill type="path" left="0.5" right="0.5" top="0.5" bottom="0.5">
        <stop position="0">
          <color theme="0" tint="-0.1490218817712943"/>
        </stop>
        <stop position="1">
          <color theme="0" tint="-0.49803155613879818"/>
        </stop>
      </gradientFill>
    </fill>
    <fill>
      <gradientFill type="path" left="0.5" right="0.5" top="0.5" bottom="0.5">
        <stop position="0">
          <color rgb="FFFFFF99"/>
        </stop>
        <stop position="1">
          <color rgb="FFFFCC00"/>
        </stop>
      </gradientFill>
    </fill>
    <fill>
      <gradientFill type="path" left="0.5" right="0.5" top="0.5" bottom="0.5">
        <stop position="0">
          <color theme="0" tint="-0.25098422193060094"/>
        </stop>
        <stop position="1">
          <color theme="0" tint="-0.49803155613879818"/>
        </stop>
      </gradientFill>
    </fill>
    <fill>
      <gradientFill type="path" left="0.5" right="0.5" top="0.5" bottom="0.5">
        <stop position="0">
          <color theme="0" tint="-5.0965910824915313E-2"/>
        </stop>
        <stop position="1">
          <color theme="0" tint="-0.25098422193060094"/>
        </stop>
      </gradientFill>
    </fill>
    <fill>
      <gradientFill type="path" left="0.5" right="0.5" top="0.5" bottom="0.5">
        <stop position="0">
          <color rgb="FFFFFF66"/>
        </stop>
        <stop position="1">
          <color rgb="FFFFCC00"/>
        </stop>
      </gradientFill>
    </fill>
    <fill>
      <gradientFill type="path" left="0.5" right="0.5" top="0.5" bottom="0.5">
        <stop position="0">
          <color rgb="FFFFFFCC"/>
        </stop>
        <stop position="1">
          <color rgb="FFFFFF66"/>
        </stop>
      </gradientFill>
    </fill>
    <fill>
      <gradientFill type="path" left="0.5" right="0.5" top="0.5" bottom="0.5">
        <stop position="0">
          <color rgb="FFFFFF99"/>
        </stop>
        <stop position="1">
          <color rgb="FFFFFF66"/>
        </stop>
      </gradientFill>
    </fill>
    <fill>
      <gradientFill type="path" left="0.5" right="0.5" top="0.5" bottom="0.5">
        <stop position="0">
          <color theme="5" tint="0.40000610370189521"/>
        </stop>
        <stop position="1">
          <color rgb="FFCE7674"/>
        </stop>
      </gradientFill>
    </fill>
    <fill>
      <gradientFill type="path" left="0.5" right="0.5" top="0.5" bottom="0.5">
        <stop position="0">
          <color theme="4" tint="0.59999389629810485"/>
        </stop>
        <stop position="1">
          <color rgb="FF789FCE"/>
        </stop>
      </gradientFill>
    </fill>
    <fill>
      <gradientFill type="path" left="0.5" right="0.5" top="0.5" bottom="0.5">
        <stop position="0">
          <color theme="4" tint="0.40000610370189521"/>
        </stop>
        <stop position="1">
          <color rgb="FF789FCE"/>
        </stop>
      </gradientFill>
    </fill>
    <fill>
      <gradientFill type="path" left="0.5" right="0.5" top="0.5" bottom="0.5">
        <stop position="0">
          <color theme="0" tint="-0.1490218817712943"/>
        </stop>
        <stop position="1">
          <color theme="4" tint="0.59999389629810485"/>
        </stop>
      </gradientFill>
    </fill>
    <fill>
      <gradientFill type="path" left="0.5" right="0.5" top="0.5" bottom="0.5">
        <stop position="0">
          <color theme="4" tint="0.80001220740379042"/>
        </stop>
        <stop position="1">
          <color theme="0" tint="-5.0965910824915313E-2"/>
        </stop>
      </gradientFill>
    </fill>
    <fill>
      <gradientFill type="path" left="0.5" right="0.5" top="0.5" bottom="0.5">
        <stop position="0">
          <color theme="0" tint="-5.0965910824915313E-2"/>
        </stop>
        <stop position="1">
          <color theme="0" tint="-0.34900967436750391"/>
        </stop>
      </gradientFill>
    </fill>
    <fill>
      <patternFill patternType="solid">
        <fgColor theme="0" tint="-0.249977111117893"/>
        <bgColor indexed="64"/>
      </patternFill>
    </fill>
    <fill>
      <patternFill patternType="solid">
        <fgColor rgb="FFFFFF00"/>
        <bgColor indexed="64"/>
      </patternFill>
    </fill>
  </fills>
  <borders count="4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6" fillId="0" borderId="0" applyFont="0" applyFill="0" applyBorder="0" applyAlignment="0" applyProtection="0"/>
  </cellStyleXfs>
  <cellXfs count="205">
    <xf numFmtId="0" fontId="0" fillId="0" borderId="0" xfId="0"/>
    <xf numFmtId="0" fontId="0" fillId="0" borderId="0" xfId="0" applyAlignment="1">
      <alignment horizontal="center"/>
    </xf>
    <xf numFmtId="164" fontId="0" fillId="0" borderId="0" xfId="0" applyNumberFormat="1"/>
    <xf numFmtId="0" fontId="0" fillId="0" borderId="0" xfId="0" applyAlignment="1">
      <alignment horizontal="center"/>
    </xf>
    <xf numFmtId="0" fontId="0" fillId="0" borderId="0" xfId="0" quotePrefix="1"/>
    <xf numFmtId="49" fontId="0" fillId="0" borderId="0" xfId="0" quotePrefix="1" applyNumberFormat="1"/>
    <xf numFmtId="2" fontId="0" fillId="0" borderId="0" xfId="0" applyNumberFormat="1"/>
    <xf numFmtId="0" fontId="0" fillId="0" borderId="0" xfId="0" applyAlignment="1">
      <alignment horizontal="center" wrapText="1"/>
    </xf>
    <xf numFmtId="2" fontId="0" fillId="5" borderId="0" xfId="0" applyNumberFormat="1" applyFill="1" applyAlignment="1">
      <alignment horizontal="center" wrapText="1"/>
    </xf>
    <xf numFmtId="0" fontId="0" fillId="2" borderId="0" xfId="0" applyFill="1" applyAlignment="1">
      <alignment horizontal="center"/>
    </xf>
    <xf numFmtId="2" fontId="0" fillId="4" borderId="0" xfId="0" applyNumberFormat="1" applyFill="1" applyAlignment="1">
      <alignment horizontal="center"/>
    </xf>
    <xf numFmtId="2" fontId="0" fillId="0" borderId="0" xfId="0" applyNumberFormat="1" applyAlignment="1">
      <alignment horizontal="center"/>
    </xf>
    <xf numFmtId="2" fontId="0" fillId="6" borderId="0" xfId="0" applyNumberFormat="1" applyFill="1" applyAlignment="1">
      <alignment horizontal="center" wrapText="1"/>
    </xf>
    <xf numFmtId="2" fontId="0" fillId="7" borderId="0" xfId="0" applyNumberFormat="1" applyFill="1" applyAlignment="1">
      <alignment horizontal="center"/>
    </xf>
    <xf numFmtId="0" fontId="4" fillId="0" borderId="0" xfId="0" applyFont="1" applyFill="1" applyAlignment="1">
      <alignment horizontal="center"/>
    </xf>
    <xf numFmtId="2" fontId="4" fillId="0" borderId="0" xfId="0" applyNumberFormat="1" applyFont="1" applyFill="1" applyAlignment="1">
      <alignment horizontal="center"/>
    </xf>
    <xf numFmtId="0" fontId="4" fillId="0" borderId="0" xfId="0" applyFont="1" applyFill="1"/>
    <xf numFmtId="0" fontId="0" fillId="0" borderId="0" xfId="0" applyFill="1" applyBorder="1" applyAlignment="1">
      <alignment wrapText="1"/>
    </xf>
    <xf numFmtId="0" fontId="0" fillId="0" borderId="0" xfId="0" applyFill="1" applyBorder="1" applyAlignment="1"/>
    <xf numFmtId="0" fontId="0" fillId="0" borderId="0" xfId="0" applyFill="1" applyBorder="1"/>
    <xf numFmtId="2" fontId="0" fillId="6" borderId="3" xfId="0" applyNumberFormat="1" applyFill="1" applyBorder="1" applyAlignment="1">
      <alignment horizontal="center" wrapText="1"/>
    </xf>
    <xf numFmtId="2" fontId="0" fillId="6" borderId="4" xfId="0" applyNumberFormat="1" applyFill="1" applyBorder="1" applyAlignment="1">
      <alignment horizontal="center" wrapText="1"/>
    </xf>
    <xf numFmtId="2" fontId="0" fillId="7" borderId="3" xfId="0" applyNumberFormat="1" applyFill="1" applyBorder="1" applyAlignment="1">
      <alignment horizontal="center"/>
    </xf>
    <xf numFmtId="2" fontId="0" fillId="7" borderId="4" xfId="0" applyNumberFormat="1" applyFill="1" applyBorder="1" applyAlignment="1">
      <alignment horizontal="center"/>
    </xf>
    <xf numFmtId="2" fontId="0" fillId="7" borderId="5" xfId="0" applyNumberFormat="1" applyFill="1" applyBorder="1" applyAlignment="1">
      <alignment horizontal="center"/>
    </xf>
    <xf numFmtId="2" fontId="0" fillId="7" borderId="6" xfId="0" applyNumberFormat="1" applyFill="1" applyBorder="1" applyAlignment="1">
      <alignment horizontal="center"/>
    </xf>
    <xf numFmtId="2" fontId="0" fillId="5" borderId="3" xfId="0" applyNumberFormat="1" applyFill="1" applyBorder="1" applyAlignment="1">
      <alignment horizontal="center" wrapText="1"/>
    </xf>
    <xf numFmtId="2" fontId="0" fillId="5" borderId="4" xfId="0" applyNumberFormat="1" applyFill="1" applyBorder="1" applyAlignment="1">
      <alignment horizontal="center" wrapText="1"/>
    </xf>
    <xf numFmtId="2" fontId="0" fillId="4" borderId="3" xfId="0" applyNumberFormat="1" applyFill="1" applyBorder="1" applyAlignment="1">
      <alignment horizontal="center"/>
    </xf>
    <xf numFmtId="2" fontId="0" fillId="4" borderId="4" xfId="0" applyNumberFormat="1" applyFill="1" applyBorder="1" applyAlignment="1">
      <alignment horizontal="center"/>
    </xf>
    <xf numFmtId="2" fontId="0" fillId="4" borderId="5" xfId="0" applyNumberFormat="1" applyFill="1" applyBorder="1" applyAlignment="1">
      <alignment horizontal="center"/>
    </xf>
    <xf numFmtId="2" fontId="0" fillId="4" borderId="6" xfId="0" applyNumberFormat="1" applyFill="1" applyBorder="1" applyAlignment="1">
      <alignment horizontal="center"/>
    </xf>
    <xf numFmtId="0" fontId="0" fillId="3" borderId="3" xfId="0" applyFill="1" applyBorder="1" applyAlignment="1">
      <alignment horizontal="center" wrapText="1"/>
    </xf>
    <xf numFmtId="0" fontId="0" fillId="3" borderId="4" xfId="0" applyFill="1" applyBorder="1" applyAlignment="1">
      <alignment horizontal="center" wrapText="1"/>
    </xf>
    <xf numFmtId="2" fontId="0" fillId="2" borderId="3" xfId="0" applyNumberFormat="1" applyFill="1" applyBorder="1" applyAlignment="1">
      <alignment horizontal="center"/>
    </xf>
    <xf numFmtId="0" fontId="0" fillId="2" borderId="4" xfId="0" applyFill="1" applyBorder="1" applyAlignment="1">
      <alignment horizontal="center"/>
    </xf>
    <xf numFmtId="2" fontId="0" fillId="2" borderId="5" xfId="0" applyNumberFormat="1" applyFill="1" applyBorder="1" applyAlignment="1">
      <alignment horizontal="center"/>
    </xf>
    <xf numFmtId="0" fontId="0" fillId="2" borderId="6" xfId="0" applyFill="1" applyBorder="1" applyAlignment="1">
      <alignment horizontal="center"/>
    </xf>
    <xf numFmtId="0" fontId="0" fillId="2" borderId="3" xfId="0" applyFill="1" applyBorder="1" applyAlignment="1">
      <alignment horizontal="center"/>
    </xf>
    <xf numFmtId="0" fontId="0" fillId="2" borderId="5" xfId="0" applyFill="1" applyBorder="1" applyAlignment="1">
      <alignment horizontal="center"/>
    </xf>
    <xf numFmtId="0" fontId="0" fillId="0" borderId="0" xfId="1" applyNumberFormat="1" applyFont="1"/>
    <xf numFmtId="0" fontId="7" fillId="0" borderId="0" xfId="0" applyFont="1" applyBorder="1" applyAlignment="1">
      <alignment vertical="center" wrapText="1"/>
    </xf>
    <xf numFmtId="0" fontId="9" fillId="0" borderId="0" xfId="0" applyFont="1" applyFill="1" applyBorder="1" applyAlignment="1">
      <alignment vertical="center" wrapText="1"/>
    </xf>
    <xf numFmtId="0" fontId="7" fillId="0" borderId="0" xfId="0" applyFont="1" applyFill="1" applyBorder="1" applyAlignment="1">
      <alignment vertical="center" wrapText="1"/>
    </xf>
    <xf numFmtId="0" fontId="0" fillId="0" borderId="0" xfId="0" applyFill="1" applyBorder="1" applyAlignment="1">
      <alignment horizontal="center"/>
    </xf>
    <xf numFmtId="0" fontId="8" fillId="0" borderId="0" xfId="0" applyFont="1" applyFill="1" applyBorder="1" applyAlignment="1">
      <alignment vertical="center" wrapText="1"/>
    </xf>
    <xf numFmtId="17"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5" fillId="0" borderId="0" xfId="0" applyFont="1" applyFill="1" applyAlignment="1">
      <alignment horizontal="center"/>
    </xf>
    <xf numFmtId="0" fontId="3" fillId="0" borderId="0" xfId="0" applyFont="1" applyFill="1" applyBorder="1" applyAlignment="1">
      <alignment horizontal="center"/>
    </xf>
    <xf numFmtId="2" fontId="0" fillId="0" borderId="0" xfId="0" applyNumberFormat="1" applyFill="1" applyAlignment="1">
      <alignment horizontal="center" wrapText="1"/>
    </xf>
    <xf numFmtId="2" fontId="0" fillId="0" borderId="0" xfId="0" applyNumberFormat="1" applyFill="1" applyAlignment="1">
      <alignment horizontal="center"/>
    </xf>
    <xf numFmtId="0" fontId="0" fillId="0" borderId="0" xfId="0"/>
    <xf numFmtId="0" fontId="0" fillId="0" borderId="0" xfId="0"/>
    <xf numFmtId="0" fontId="0" fillId="0" borderId="0" xfId="0"/>
    <xf numFmtId="1" fontId="0" fillId="0" borderId="0" xfId="0" applyNumberFormat="1" applyAlignment="1">
      <alignment horizontal="center"/>
    </xf>
    <xf numFmtId="0" fontId="3" fillId="0" borderId="9" xfId="0" applyFont="1" applyBorder="1"/>
    <xf numFmtId="0" fontId="3" fillId="0" borderId="10" xfId="0" applyFont="1" applyBorder="1"/>
    <xf numFmtId="0" fontId="12" fillId="10" borderId="8" xfId="0" applyFont="1" applyFill="1" applyBorder="1" applyAlignment="1">
      <alignment horizontal="center"/>
    </xf>
    <xf numFmtId="0" fontId="12" fillId="10" borderId="11" xfId="0" applyFont="1" applyFill="1" applyBorder="1" applyAlignment="1">
      <alignment horizontal="center"/>
    </xf>
    <xf numFmtId="0" fontId="12" fillId="10" borderId="6" xfId="0" applyFont="1" applyFill="1" applyBorder="1" applyAlignment="1">
      <alignment horizontal="center"/>
    </xf>
    <xf numFmtId="0" fontId="12" fillId="10" borderId="12" xfId="0" applyFont="1" applyFill="1" applyBorder="1" applyAlignment="1">
      <alignment horizontal="center"/>
    </xf>
    <xf numFmtId="0" fontId="12" fillId="8" borderId="8" xfId="0" applyFont="1" applyFill="1" applyBorder="1" applyAlignment="1">
      <alignment horizontal="center"/>
    </xf>
    <xf numFmtId="0" fontId="12" fillId="8" borderId="11" xfId="0" applyFont="1" applyFill="1" applyBorder="1" applyAlignment="1">
      <alignment horizontal="center"/>
    </xf>
    <xf numFmtId="0" fontId="10" fillId="9" borderId="7" xfId="0" applyFont="1" applyFill="1" applyBorder="1" applyAlignment="1">
      <alignment horizontal="center"/>
    </xf>
    <xf numFmtId="165" fontId="0" fillId="0" borderId="0" xfId="0" applyNumberFormat="1"/>
    <xf numFmtId="1" fontId="0" fillId="0" borderId="0" xfId="0" applyNumberFormat="1"/>
    <xf numFmtId="49" fontId="0" fillId="0" borderId="0" xfId="0" applyNumberFormat="1"/>
    <xf numFmtId="2" fontId="14" fillId="0" borderId="0" xfId="0" applyNumberFormat="1" applyFont="1" applyFill="1" applyBorder="1" applyAlignment="1">
      <alignment horizontal="center"/>
    </xf>
    <xf numFmtId="0" fontId="11" fillId="0" borderId="0" xfId="0" applyFont="1"/>
    <xf numFmtId="0" fontId="14" fillId="0" borderId="0" xfId="0" applyFont="1"/>
    <xf numFmtId="0" fontId="4" fillId="0" borderId="0" xfId="0" applyFont="1" applyFill="1" applyBorder="1" applyAlignment="1">
      <alignment horizontal="center"/>
    </xf>
    <xf numFmtId="2" fontId="4"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2" fontId="3" fillId="14" borderId="7" xfId="0" applyNumberFormat="1" applyFont="1" applyFill="1" applyBorder="1" applyAlignment="1">
      <alignment horizontal="center"/>
    </xf>
    <xf numFmtId="0" fontId="4" fillId="13" borderId="11" xfId="0" applyFont="1" applyFill="1" applyBorder="1" applyAlignment="1">
      <alignment horizontal="center"/>
    </xf>
    <xf numFmtId="0" fontId="4" fillId="13" borderId="8" xfId="0" applyFont="1" applyFill="1" applyBorder="1" applyAlignment="1">
      <alignment horizontal="center"/>
    </xf>
    <xf numFmtId="0" fontId="3" fillId="14" borderId="18" xfId="0" applyFont="1" applyFill="1" applyBorder="1" applyAlignment="1">
      <alignment horizontal="center"/>
    </xf>
    <xf numFmtId="0" fontId="4" fillId="15" borderId="8" xfId="0" applyFont="1" applyFill="1" applyBorder="1" applyAlignment="1">
      <alignment horizontal="center"/>
    </xf>
    <xf numFmtId="0" fontId="4" fillId="15" borderId="20" xfId="0" applyFont="1" applyFill="1" applyBorder="1" applyAlignment="1">
      <alignment horizontal="center"/>
    </xf>
    <xf numFmtId="0" fontId="4" fillId="11" borderId="19" xfId="0" applyFont="1" applyFill="1" applyBorder="1" applyAlignment="1">
      <alignment horizontal="center"/>
    </xf>
    <xf numFmtId="0" fontId="0" fillId="0" borderId="0" xfId="0" applyAlignment="1">
      <alignment horizontal="center" vertical="center"/>
    </xf>
    <xf numFmtId="0" fontId="0" fillId="15" borderId="8" xfId="0" applyFill="1" applyBorder="1" applyAlignment="1">
      <alignment horizontal="center" vertical="center"/>
    </xf>
    <xf numFmtId="0" fontId="0" fillId="15" borderId="8" xfId="0" applyFill="1" applyBorder="1" applyAlignment="1">
      <alignment horizontal="center" vertical="center" wrapText="1"/>
    </xf>
    <xf numFmtId="49" fontId="14" fillId="0" borderId="0" xfId="0" applyNumberFormat="1" applyFont="1" applyAlignment="1">
      <alignment horizontal="center" wrapText="1"/>
    </xf>
    <xf numFmtId="0" fontId="0" fillId="15" borderId="17" xfId="0" applyFill="1" applyBorder="1" applyAlignment="1">
      <alignment horizontal="center" vertical="center" wrapText="1"/>
    </xf>
    <xf numFmtId="0" fontId="0" fillId="15" borderId="17" xfId="0" applyFill="1" applyBorder="1" applyAlignment="1">
      <alignment horizontal="center" vertical="center"/>
    </xf>
    <xf numFmtId="0" fontId="0" fillId="15" borderId="11" xfId="0" applyFill="1" applyBorder="1" applyAlignment="1">
      <alignment horizontal="center" vertical="center"/>
    </xf>
    <xf numFmtId="0" fontId="0" fillId="15" borderId="11" xfId="0" applyFill="1" applyBorder="1" applyAlignment="1">
      <alignment horizontal="center" vertical="center" wrapText="1"/>
    </xf>
    <xf numFmtId="0" fontId="4" fillId="14" borderId="23" xfId="0" applyFont="1" applyFill="1" applyBorder="1" applyAlignment="1">
      <alignment horizontal="center" vertical="center"/>
    </xf>
    <xf numFmtId="0" fontId="4" fillId="14" borderId="24" xfId="0" applyFont="1" applyFill="1" applyBorder="1" applyAlignment="1">
      <alignment horizontal="center" vertical="center"/>
    </xf>
    <xf numFmtId="0" fontId="4" fillId="14" borderId="25" xfId="0" applyFont="1" applyFill="1" applyBorder="1" applyAlignment="1">
      <alignment horizontal="center" vertical="center" wrapText="1"/>
    </xf>
    <xf numFmtId="0" fontId="4" fillId="14" borderId="23" xfId="0" applyFont="1" applyFill="1" applyBorder="1" applyAlignment="1">
      <alignment horizontal="center" vertical="center" wrapText="1"/>
    </xf>
    <xf numFmtId="0" fontId="4" fillId="12" borderId="15" xfId="0" applyFont="1" applyFill="1" applyBorder="1" applyAlignment="1" applyProtection="1">
      <alignment horizontal="center"/>
      <protection locked="0"/>
    </xf>
    <xf numFmtId="0" fontId="4" fillId="12" borderId="14" xfId="0" applyFont="1" applyFill="1" applyBorder="1" applyAlignment="1" applyProtection="1">
      <alignment horizontal="center"/>
      <protection locked="0"/>
    </xf>
    <xf numFmtId="0" fontId="4" fillId="12" borderId="10" xfId="0" applyFont="1" applyFill="1" applyBorder="1" applyAlignment="1" applyProtection="1">
      <alignment horizontal="center"/>
      <protection locked="0"/>
    </xf>
    <xf numFmtId="164" fontId="4" fillId="17" borderId="7" xfId="0" applyNumberFormat="1" applyFont="1" applyFill="1" applyBorder="1" applyAlignment="1" applyProtection="1">
      <alignment horizontal="center"/>
      <protection locked="0"/>
    </xf>
    <xf numFmtId="1" fontId="14" fillId="17" borderId="7" xfId="0" applyNumberFormat="1" applyFont="1" applyFill="1" applyBorder="1" applyAlignment="1" applyProtection="1">
      <alignment horizontal="center"/>
      <protection locked="0"/>
    </xf>
    <xf numFmtId="0" fontId="0" fillId="0" borderId="0" xfId="0" applyProtection="1">
      <protection locked="0"/>
    </xf>
    <xf numFmtId="165" fontId="0" fillId="0" borderId="0" xfId="0" applyNumberFormat="1" applyProtection="1">
      <protection locked="0"/>
    </xf>
    <xf numFmtId="0" fontId="0" fillId="19" borderId="8" xfId="0" applyFill="1" applyBorder="1" applyAlignment="1">
      <alignment horizontal="center" vertical="center"/>
    </xf>
    <xf numFmtId="0" fontId="0" fillId="19" borderId="8" xfId="0" applyFill="1" applyBorder="1" applyAlignment="1">
      <alignment horizontal="center" vertical="center" wrapText="1"/>
    </xf>
    <xf numFmtId="0" fontId="4" fillId="14" borderId="28" xfId="0" applyFont="1" applyFill="1" applyBorder="1" applyAlignment="1">
      <alignment horizontal="center" vertical="center"/>
    </xf>
    <xf numFmtId="0" fontId="0" fillId="15" borderId="5" xfId="0" applyFill="1" applyBorder="1" applyAlignment="1">
      <alignment horizontal="center" vertical="center" wrapText="1"/>
    </xf>
    <xf numFmtId="0" fontId="0" fillId="15" borderId="18" xfId="0" applyFill="1" applyBorder="1" applyAlignment="1">
      <alignment horizontal="center" vertical="center" wrapText="1"/>
    </xf>
    <xf numFmtId="0" fontId="0" fillId="15" borderId="1" xfId="0" applyFill="1" applyBorder="1" applyAlignment="1">
      <alignment horizontal="center" vertical="center" wrapText="1"/>
    </xf>
    <xf numFmtId="0" fontId="4" fillId="14" borderId="28" xfId="0" applyFont="1" applyFill="1" applyBorder="1" applyAlignment="1">
      <alignment horizontal="center" vertical="center" wrapText="1"/>
    </xf>
    <xf numFmtId="0" fontId="4" fillId="14" borderId="8" xfId="0" applyFont="1" applyFill="1" applyBorder="1" applyAlignment="1">
      <alignment horizontal="center" vertical="center"/>
    </xf>
    <xf numFmtId="0" fontId="8" fillId="29" borderId="0" xfId="0" applyFont="1" applyFill="1" applyBorder="1" applyAlignment="1">
      <alignment vertical="center" wrapText="1"/>
    </xf>
    <xf numFmtId="0" fontId="4" fillId="15" borderId="17" xfId="0" applyFont="1" applyFill="1" applyBorder="1" applyAlignment="1">
      <alignment horizontal="center" vertical="center"/>
    </xf>
    <xf numFmtId="0" fontId="4" fillId="15" borderId="17" xfId="0" applyFont="1" applyFill="1" applyBorder="1" applyAlignment="1">
      <alignment horizontal="center" vertical="center" wrapText="1"/>
    </xf>
    <xf numFmtId="0" fontId="4" fillId="25" borderId="34" xfId="0" applyFont="1" applyFill="1" applyBorder="1" applyAlignment="1" applyProtection="1">
      <alignment horizontal="center"/>
    </xf>
    <xf numFmtId="2" fontId="14" fillId="26" borderId="35" xfId="0" applyNumberFormat="1" applyFont="1" applyFill="1" applyBorder="1" applyAlignment="1">
      <alignment horizontal="center"/>
    </xf>
    <xf numFmtId="2" fontId="14" fillId="26" borderId="36" xfId="0" applyNumberFormat="1" applyFont="1" applyFill="1" applyBorder="1" applyAlignment="1">
      <alignment horizontal="center"/>
    </xf>
    <xf numFmtId="0" fontId="4" fillId="25" borderId="37" xfId="0" applyFont="1" applyFill="1" applyBorder="1" applyAlignment="1" applyProtection="1">
      <alignment horizontal="center"/>
    </xf>
    <xf numFmtId="0" fontId="4" fillId="25" borderId="39" xfId="0" applyFont="1" applyFill="1" applyBorder="1" applyAlignment="1" applyProtection="1">
      <alignment horizontal="center"/>
    </xf>
    <xf numFmtId="0" fontId="4" fillId="15" borderId="11" xfId="0" applyFont="1" applyFill="1" applyBorder="1" applyAlignment="1">
      <alignment horizontal="center"/>
    </xf>
    <xf numFmtId="0" fontId="0" fillId="30" borderId="0" xfId="0" applyFill="1"/>
    <xf numFmtId="0" fontId="0" fillId="0" borderId="0" xfId="0" applyAlignment="1">
      <alignment horizontal="center"/>
    </xf>
    <xf numFmtId="0" fontId="4" fillId="25" borderId="43" xfId="0" applyFont="1" applyFill="1" applyBorder="1" applyAlignment="1" applyProtection="1">
      <alignment horizontal="center"/>
    </xf>
    <xf numFmtId="0" fontId="4" fillId="25" borderId="23" xfId="0" applyFont="1" applyFill="1" applyBorder="1" applyAlignment="1" applyProtection="1">
      <alignment horizontal="center"/>
    </xf>
    <xf numFmtId="164" fontId="0" fillId="0" borderId="0" xfId="0" applyNumberFormat="1" applyAlignment="1">
      <alignment horizontal="center"/>
    </xf>
    <xf numFmtId="0" fontId="17" fillId="0" borderId="0" xfId="0" applyFont="1" applyAlignment="1">
      <alignment horizontal="center"/>
    </xf>
    <xf numFmtId="0" fontId="3" fillId="0" borderId="0" xfId="0" applyFont="1"/>
    <xf numFmtId="166" fontId="14" fillId="26" borderId="8" xfId="0" applyNumberFormat="1" applyFont="1" applyFill="1" applyBorder="1" applyAlignment="1">
      <alignment horizontal="center"/>
    </xf>
    <xf numFmtId="166" fontId="14" fillId="26" borderId="38" xfId="0" applyNumberFormat="1" applyFont="1" applyFill="1" applyBorder="1" applyAlignment="1">
      <alignment horizontal="center"/>
    </xf>
    <xf numFmtId="166" fontId="14" fillId="26" borderId="40" xfId="0" applyNumberFormat="1" applyFont="1" applyFill="1" applyBorder="1" applyAlignment="1">
      <alignment horizontal="center"/>
    </xf>
    <xf numFmtId="166" fontId="14" fillId="26" borderId="41" xfId="0" applyNumberFormat="1" applyFont="1" applyFill="1" applyBorder="1" applyAlignment="1">
      <alignment horizontal="center"/>
    </xf>
    <xf numFmtId="166" fontId="14" fillId="26" borderId="24" xfId="0" applyNumberFormat="1" applyFont="1" applyFill="1" applyBorder="1" applyAlignment="1">
      <alignment horizontal="center"/>
    </xf>
    <xf numFmtId="166" fontId="14" fillId="26" borderId="25" xfId="0" applyNumberFormat="1" applyFont="1" applyFill="1" applyBorder="1" applyAlignment="1">
      <alignment horizontal="center"/>
    </xf>
    <xf numFmtId="166" fontId="14" fillId="26" borderId="11" xfId="0" applyNumberFormat="1" applyFont="1" applyFill="1" applyBorder="1" applyAlignment="1">
      <alignment horizontal="center"/>
    </xf>
    <xf numFmtId="166" fontId="14" fillId="26" borderId="44" xfId="0" applyNumberFormat="1" applyFont="1" applyFill="1" applyBorder="1" applyAlignment="1">
      <alignment horizontal="center"/>
    </xf>
    <xf numFmtId="166" fontId="14" fillId="26" borderId="17" xfId="0" applyNumberFormat="1" applyFont="1" applyFill="1" applyBorder="1" applyAlignment="1">
      <alignment horizontal="center"/>
    </xf>
    <xf numFmtId="166" fontId="14" fillId="26" borderId="42" xfId="0" applyNumberFormat="1" applyFont="1" applyFill="1" applyBorder="1" applyAlignment="1">
      <alignment horizontal="center"/>
    </xf>
    <xf numFmtId="166" fontId="4" fillId="16" borderId="11" xfId="0" applyNumberFormat="1" applyFont="1" applyFill="1" applyBorder="1" applyAlignment="1">
      <alignment horizontal="center"/>
    </xf>
    <xf numFmtId="166" fontId="4" fillId="16" borderId="8" xfId="0" applyNumberFormat="1" applyFont="1" applyFill="1" applyBorder="1" applyAlignment="1">
      <alignment horizontal="center"/>
    </xf>
    <xf numFmtId="0" fontId="4" fillId="22" borderId="20" xfId="0" applyFont="1" applyFill="1" applyBorder="1" applyAlignment="1">
      <alignment horizontal="center" vertical="center" wrapText="1"/>
    </xf>
    <xf numFmtId="0" fontId="4" fillId="22" borderId="22" xfId="0" applyFont="1" applyFill="1" applyBorder="1" applyAlignment="1">
      <alignment horizontal="center" vertical="center" wrapText="1"/>
    </xf>
    <xf numFmtId="0" fontId="4" fillId="22" borderId="0" xfId="0" applyFont="1" applyFill="1" applyBorder="1" applyAlignment="1">
      <alignment horizontal="center" vertical="center" wrapText="1"/>
    </xf>
    <xf numFmtId="0" fontId="15" fillId="18" borderId="26" xfId="0" applyFont="1" applyFill="1" applyBorder="1" applyAlignment="1">
      <alignment horizontal="center" vertical="center"/>
    </xf>
    <xf numFmtId="0" fontId="15" fillId="18" borderId="0" xfId="0" applyFont="1" applyFill="1" applyBorder="1" applyAlignment="1">
      <alignment horizontal="center" vertical="center"/>
    </xf>
    <xf numFmtId="0" fontId="0" fillId="27" borderId="29" xfId="0" applyFont="1" applyFill="1" applyBorder="1" applyAlignment="1">
      <alignment horizontal="center" vertical="center" wrapText="1"/>
    </xf>
    <xf numFmtId="0" fontId="0" fillId="27" borderId="16" xfId="0" applyFont="1" applyFill="1" applyBorder="1" applyAlignment="1">
      <alignment horizontal="center" vertical="center" wrapText="1"/>
    </xf>
    <xf numFmtId="0" fontId="0" fillId="27" borderId="30" xfId="0" applyFont="1" applyFill="1" applyBorder="1" applyAlignment="1">
      <alignment horizontal="center" vertical="center" wrapText="1"/>
    </xf>
    <xf numFmtId="0" fontId="0" fillId="27" borderId="5" xfId="0" applyFont="1" applyFill="1" applyBorder="1" applyAlignment="1">
      <alignment horizontal="center" vertical="center" wrapText="1"/>
    </xf>
    <xf numFmtId="0" fontId="0" fillId="27" borderId="31" xfId="0" applyFont="1" applyFill="1" applyBorder="1" applyAlignment="1">
      <alignment horizontal="center" vertical="center" wrapText="1"/>
    </xf>
    <xf numFmtId="0" fontId="0" fillId="27" borderId="6" xfId="0" applyFont="1" applyFill="1" applyBorder="1" applyAlignment="1">
      <alignment horizontal="center" vertical="center" wrapText="1"/>
    </xf>
    <xf numFmtId="0" fontId="4" fillId="23" borderId="9" xfId="0" applyFont="1" applyFill="1" applyBorder="1" applyAlignment="1">
      <alignment horizontal="center" vertical="center"/>
    </xf>
    <xf numFmtId="0" fontId="4" fillId="23" borderId="21" xfId="0" applyFont="1" applyFill="1" applyBorder="1" applyAlignment="1">
      <alignment horizontal="center" vertical="center"/>
    </xf>
    <xf numFmtId="0" fontId="3" fillId="24" borderId="23" xfId="0" applyFont="1" applyFill="1" applyBorder="1" applyAlignment="1">
      <alignment horizontal="center" vertical="center"/>
    </xf>
    <xf numFmtId="0" fontId="3" fillId="24" borderId="24" xfId="0" applyFont="1" applyFill="1" applyBorder="1" applyAlignment="1">
      <alignment horizontal="center" vertical="center"/>
    </xf>
    <xf numFmtId="0" fontId="3" fillId="24" borderId="25" xfId="0" applyFont="1" applyFill="1" applyBorder="1" applyAlignment="1">
      <alignment horizontal="center" vertical="center"/>
    </xf>
    <xf numFmtId="0" fontId="4" fillId="23" borderId="23" xfId="0" applyFont="1" applyFill="1" applyBorder="1" applyAlignment="1">
      <alignment horizontal="center" vertical="center"/>
    </xf>
    <xf numFmtId="0" fontId="4" fillId="23" borderId="24" xfId="0" applyFont="1" applyFill="1" applyBorder="1" applyAlignment="1">
      <alignment horizontal="center" vertical="center"/>
    </xf>
    <xf numFmtId="0" fontId="4" fillId="23" borderId="25"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22" xfId="0" applyFont="1" applyFill="1" applyBorder="1" applyAlignment="1">
      <alignment horizontal="center" vertical="center"/>
    </xf>
    <xf numFmtId="0" fontId="3" fillId="23" borderId="9" xfId="0" applyFont="1" applyFill="1" applyBorder="1" applyAlignment="1">
      <alignment horizontal="center"/>
    </xf>
    <xf numFmtId="0" fontId="3" fillId="23" borderId="10" xfId="0" applyFont="1" applyFill="1" applyBorder="1" applyAlignment="1">
      <alignment horizontal="center"/>
    </xf>
    <xf numFmtId="0" fontId="13" fillId="12" borderId="9" xfId="0" applyFont="1" applyFill="1" applyBorder="1" applyAlignment="1">
      <alignment horizontal="center"/>
    </xf>
    <xf numFmtId="0" fontId="13" fillId="12" borderId="10" xfId="0" applyFont="1" applyFill="1" applyBorder="1" applyAlignment="1">
      <alignment horizontal="center"/>
    </xf>
    <xf numFmtId="0" fontId="11" fillId="21" borderId="9" xfId="0" applyFont="1" applyFill="1" applyBorder="1" applyAlignment="1">
      <alignment horizontal="center" wrapText="1"/>
    </xf>
    <xf numFmtId="0" fontId="11" fillId="21" borderId="10" xfId="0" applyFont="1" applyFill="1" applyBorder="1" applyAlignment="1">
      <alignment horizontal="center" wrapText="1"/>
    </xf>
    <xf numFmtId="0" fontId="18" fillId="0" borderId="0" xfId="0" applyFont="1" applyAlignment="1">
      <alignment horizontal="left" vertical="center" wrapText="1"/>
    </xf>
    <xf numFmtId="0" fontId="4" fillId="23" borderId="26" xfId="0" applyFont="1" applyFill="1" applyBorder="1" applyAlignment="1">
      <alignment horizontal="center"/>
    </xf>
    <xf numFmtId="0" fontId="4" fillId="23" borderId="0" xfId="0" applyFont="1" applyFill="1" applyBorder="1" applyAlignment="1">
      <alignment horizontal="center"/>
    </xf>
    <xf numFmtId="0" fontId="4" fillId="23" borderId="27" xfId="0" applyFont="1" applyFill="1" applyBorder="1" applyAlignment="1">
      <alignment horizontal="center"/>
    </xf>
    <xf numFmtId="0" fontId="13" fillId="20" borderId="13" xfId="0" applyFont="1" applyFill="1" applyBorder="1" applyAlignment="1">
      <alignment horizontal="center"/>
    </xf>
    <xf numFmtId="0" fontId="13" fillId="20" borderId="16" xfId="0" applyFont="1" applyFill="1" applyBorder="1" applyAlignment="1">
      <alignment horizontal="center"/>
    </xf>
    <xf numFmtId="0" fontId="13" fillId="20" borderId="14" xfId="0" applyFont="1" applyFill="1" applyBorder="1" applyAlignment="1">
      <alignment horizontal="center"/>
    </xf>
    <xf numFmtId="0" fontId="14" fillId="15" borderId="13" xfId="0" applyFont="1" applyFill="1" applyBorder="1" applyAlignment="1">
      <alignment horizontal="left" vertical="center" wrapText="1"/>
    </xf>
    <xf numFmtId="0" fontId="14" fillId="15" borderId="16" xfId="0" applyFont="1" applyFill="1" applyBorder="1" applyAlignment="1">
      <alignment horizontal="left" vertical="center" wrapText="1"/>
    </xf>
    <xf numFmtId="0" fontId="14" fillId="15" borderId="14" xfId="0" applyFont="1" applyFill="1" applyBorder="1" applyAlignment="1">
      <alignment horizontal="left" vertical="center" wrapText="1"/>
    </xf>
    <xf numFmtId="0" fontId="14" fillId="15" borderId="20" xfId="0" applyFont="1" applyFill="1" applyBorder="1" applyAlignment="1">
      <alignment horizontal="left" vertical="center" wrapText="1"/>
    </xf>
    <xf numFmtId="0" fontId="14" fillId="15" borderId="22" xfId="0" applyFont="1" applyFill="1" applyBorder="1" applyAlignment="1">
      <alignment horizontal="left" vertical="center" wrapText="1"/>
    </xf>
    <xf numFmtId="0" fontId="14" fillId="15" borderId="15" xfId="0" applyFont="1" applyFill="1" applyBorder="1" applyAlignment="1">
      <alignment horizontal="left" vertical="center" wrapText="1"/>
    </xf>
    <xf numFmtId="0" fontId="4" fillId="19" borderId="32" xfId="0" applyFont="1" applyFill="1" applyBorder="1" applyAlignment="1">
      <alignment horizontal="center" vertical="center" wrapText="1"/>
    </xf>
    <xf numFmtId="0" fontId="4" fillId="19" borderId="33" xfId="0" applyFont="1" applyFill="1" applyBorder="1" applyAlignment="1">
      <alignment horizontal="center" vertical="center" wrapText="1"/>
    </xf>
    <xf numFmtId="0" fontId="4" fillId="28" borderId="32" xfId="0" applyFont="1" applyFill="1" applyBorder="1" applyAlignment="1">
      <alignment horizontal="center" vertical="center" wrapText="1"/>
    </xf>
    <xf numFmtId="0" fontId="4" fillId="28" borderId="33" xfId="0" applyFont="1" applyFill="1" applyBorder="1" applyAlignment="1">
      <alignment horizontal="center" vertical="center" wrapText="1"/>
    </xf>
    <xf numFmtId="0" fontId="4" fillId="28" borderId="19" xfId="0" applyFont="1" applyFill="1" applyBorder="1" applyAlignment="1">
      <alignment horizontal="center" vertical="center" wrapText="1"/>
    </xf>
    <xf numFmtId="0" fontId="0" fillId="0" borderId="8" xfId="0" applyBorder="1" applyAlignment="1">
      <alignment horizontal="center"/>
    </xf>
    <xf numFmtId="0" fontId="16" fillId="0" borderId="0" xfId="0" applyFont="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5" borderId="0" xfId="0" applyFont="1" applyFill="1" applyAlignment="1">
      <alignment horizontal="center"/>
    </xf>
    <xf numFmtId="0" fontId="3" fillId="5" borderId="0" xfId="0" applyFont="1" applyFill="1" applyBorder="1" applyAlignment="1">
      <alignment horizontal="center"/>
    </xf>
    <xf numFmtId="0" fontId="3" fillId="6" borderId="0" xfId="0" applyFont="1" applyFill="1" applyBorder="1" applyAlignment="1">
      <alignment horizontal="center"/>
    </xf>
    <xf numFmtId="0" fontId="5" fillId="6" borderId="0" xfId="0" applyFont="1" applyFill="1" applyAlignment="1">
      <alignment horizontal="center"/>
    </xf>
    <xf numFmtId="0" fontId="5" fillId="3" borderId="0" xfId="0" applyFont="1" applyFill="1" applyAlignment="1">
      <alignment horizontal="center"/>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6" borderId="1" xfId="0" applyFont="1" applyFill="1" applyBorder="1" applyAlignment="1">
      <alignment horizontal="center"/>
    </xf>
    <xf numFmtId="0" fontId="3" fillId="6" borderId="2" xfId="0" applyFont="1" applyFill="1" applyBorder="1" applyAlignment="1">
      <alignment horizontal="center"/>
    </xf>
    <xf numFmtId="0" fontId="3" fillId="5" borderId="1"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3" fillId="6" borderId="0" xfId="0" applyFont="1" applyFill="1" applyAlignment="1">
      <alignment horizontal="center"/>
    </xf>
    <xf numFmtId="0" fontId="11" fillId="15" borderId="9" xfId="0" applyFont="1" applyFill="1" applyBorder="1" applyAlignment="1">
      <alignment horizontal="center" vertical="center" wrapText="1"/>
    </xf>
    <xf numFmtId="0" fontId="11" fillId="15" borderId="10" xfId="0" applyFont="1" applyFill="1" applyBorder="1" applyAlignment="1">
      <alignment horizontal="center" vertical="center" wrapText="1"/>
    </xf>
  </cellXfs>
  <cellStyles count="2">
    <cellStyle name="Normal" xfId="0" builtinId="0"/>
    <cellStyle name="Percent" xfId="1" builtinId="5"/>
  </cellStyles>
  <dxfs count="5">
    <dxf>
      <numFmt numFmtId="30" formatCode="@"/>
      <fill>
        <patternFill>
          <bgColor rgb="FFFF0000"/>
        </patternFill>
      </fill>
    </dxf>
    <dxf>
      <fill>
        <gradientFill type="path" left="0.5" right="0.5" top="0.5" bottom="0.5">
          <stop position="0">
            <color theme="6" tint="0.40000610370189521"/>
          </stop>
          <stop position="1">
            <color rgb="FF006600"/>
          </stop>
        </gradientFill>
      </fill>
    </dxf>
    <dxf>
      <fill>
        <gradientFill type="path" left="0.5" right="0.5" top="0.5" bottom="0.5">
          <stop position="0">
            <color theme="5" tint="0.40000610370189521"/>
          </stop>
          <stop position="1">
            <color rgb="FFFF0000"/>
          </stop>
        </gradientFill>
      </fill>
    </dxf>
    <dxf>
      <fill>
        <gradientFill type="path" left="0.5" right="0.5" top="0.5" bottom="0.5">
          <stop position="0">
            <color theme="6" tint="0.40000610370189521"/>
          </stop>
          <stop position="1">
            <color rgb="FF006600"/>
          </stop>
        </gradientFill>
      </fill>
    </dxf>
    <dxf>
      <fill>
        <gradientFill type="path" left="0.5" right="0.5" top="0.5" bottom="0.5">
          <stop position="0">
            <color theme="5" tint="0.40000610370189521"/>
          </stop>
          <stop position="1">
            <color rgb="FFFF0000"/>
          </stop>
        </gradientFill>
      </fill>
    </dxf>
  </dxfs>
  <tableStyles count="0" defaultTableStyle="TableStyleMedium2" defaultPivotStyle="PivotStyleLight16"/>
  <colors>
    <mruColors>
      <color rgb="FFFFFF99"/>
      <color rgb="FF789FCE"/>
      <color rgb="FF5183BF"/>
      <color rgb="FFCE7674"/>
      <color rgb="FFFFFF66"/>
      <color rgb="FFFFFFCC"/>
      <color rgb="FFFFCC00"/>
      <color rgb="FFCC0000"/>
      <color rgb="FF990000"/>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Phosphorus Export</a:t>
            </a:r>
            <a:r>
              <a:rPr lang="en-US" baseline="0"/>
              <a:t> per Agroecoregion (lbs P/ac/yr)</a:t>
            </a:r>
            <a:endParaRPr lang="en-US"/>
          </a:p>
        </c:rich>
      </c:tx>
      <c:overlay val="0"/>
    </c:title>
    <c:autoTitleDeleted val="0"/>
    <c:plotArea>
      <c:layout>
        <c:manualLayout>
          <c:layoutTarget val="inner"/>
          <c:xMode val="edge"/>
          <c:yMode val="edge"/>
          <c:x val="3.7986991582572023E-2"/>
          <c:y val="7.3717579529002625E-2"/>
          <c:w val="0.82040580636424176"/>
          <c:h val="0.71904454148351138"/>
        </c:manualLayout>
      </c:layout>
      <c:barChart>
        <c:barDir val="col"/>
        <c:grouping val="clustered"/>
        <c:varyColors val="0"/>
        <c:ser>
          <c:idx val="0"/>
          <c:order val="0"/>
          <c:tx>
            <c:v>No Buffer - Poor Mgmt</c:v>
          </c:tx>
          <c:spPr>
            <a:solidFill>
              <a:srgbClr val="C000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RESULTS'!$C$4:$C$33</c:f>
              <c:numCache>
                <c:formatCode>General</c:formatCode>
                <c:ptCount val="30"/>
                <c:pt idx="0">
                  <c:v>0.84299999999999997</c:v>
                </c:pt>
                <c:pt idx="1">
                  <c:v>0.89800000000000002</c:v>
                </c:pt>
                <c:pt idx="2">
                  <c:v>7.141</c:v>
                </c:pt>
                <c:pt idx="3">
                  <c:v>0.98599999999999999</c:v>
                </c:pt>
                <c:pt idx="4">
                  <c:v>1.0009999999999999</c:v>
                </c:pt>
                <c:pt idx="5">
                  <c:v>1.107</c:v>
                </c:pt>
                <c:pt idx="6">
                  <c:v>0.69400000000000006</c:v>
                </c:pt>
                <c:pt idx="7">
                  <c:v>0.89700000000000002</c:v>
                </c:pt>
                <c:pt idx="8">
                  <c:v>0.84499999999999997</c:v>
                </c:pt>
                <c:pt idx="9">
                  <c:v>0.91700000000000004</c:v>
                </c:pt>
                <c:pt idx="10">
                  <c:v>0.38200000000000001</c:v>
                </c:pt>
                <c:pt idx="11">
                  <c:v>0.98299999999999998</c:v>
                </c:pt>
                <c:pt idx="12">
                  <c:v>0.61599999999999999</c:v>
                </c:pt>
                <c:pt idx="13">
                  <c:v>0.623</c:v>
                </c:pt>
                <c:pt idx="14">
                  <c:v>0.751</c:v>
                </c:pt>
                <c:pt idx="15">
                  <c:v>1.841</c:v>
                </c:pt>
                <c:pt idx="16">
                  <c:v>2.5179999999999998</c:v>
                </c:pt>
                <c:pt idx="17">
                  <c:v>0.39500000000000002</c:v>
                </c:pt>
                <c:pt idx="18">
                  <c:v>1.0779999999999998</c:v>
                </c:pt>
                <c:pt idx="19">
                  <c:v>0.8</c:v>
                </c:pt>
                <c:pt idx="20">
                  <c:v>2.1559999999999997</c:v>
                </c:pt>
                <c:pt idx="21">
                  <c:v>2.431</c:v>
                </c:pt>
                <c:pt idx="22">
                  <c:v>3.4850000000000003</c:v>
                </c:pt>
                <c:pt idx="23">
                  <c:v>1.032</c:v>
                </c:pt>
                <c:pt idx="24">
                  <c:v>0.57800000000000007</c:v>
                </c:pt>
                <c:pt idx="25">
                  <c:v>0.73699999999999999</c:v>
                </c:pt>
                <c:pt idx="26">
                  <c:v>1.119</c:v>
                </c:pt>
                <c:pt idx="27">
                  <c:v>0.68499999999999994</c:v>
                </c:pt>
                <c:pt idx="28">
                  <c:v>1.115</c:v>
                </c:pt>
                <c:pt idx="29">
                  <c:v>0.95099999999999996</c:v>
                </c:pt>
              </c:numCache>
            </c:numRef>
          </c:val>
        </c:ser>
        <c:ser>
          <c:idx val="1"/>
          <c:order val="1"/>
          <c:tx>
            <c:v>No Buffer - Avg Mgmt</c:v>
          </c:tx>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RESULTS'!$E$4:$E$33</c:f>
              <c:numCache>
                <c:formatCode>General</c:formatCode>
                <c:ptCount val="30"/>
                <c:pt idx="0">
                  <c:v>0.45099999999999996</c:v>
                </c:pt>
                <c:pt idx="1">
                  <c:v>0.63100000000000001</c:v>
                </c:pt>
                <c:pt idx="2">
                  <c:v>5.1070000000000002</c:v>
                </c:pt>
                <c:pt idx="3">
                  <c:v>0.58399999999999996</c:v>
                </c:pt>
                <c:pt idx="4">
                  <c:v>0.61599999999999999</c:v>
                </c:pt>
                <c:pt idx="5">
                  <c:v>0.54299999999999993</c:v>
                </c:pt>
                <c:pt idx="6">
                  <c:v>0.39600000000000002</c:v>
                </c:pt>
                <c:pt idx="7">
                  <c:v>0.51400000000000001</c:v>
                </c:pt>
                <c:pt idx="8">
                  <c:v>0.47199999999999998</c:v>
                </c:pt>
                <c:pt idx="9">
                  <c:v>0.54900000000000004</c:v>
                </c:pt>
                <c:pt idx="10">
                  <c:v>0.16999999999999998</c:v>
                </c:pt>
                <c:pt idx="11">
                  <c:v>0.52800000000000002</c:v>
                </c:pt>
                <c:pt idx="12">
                  <c:v>0.29700000000000004</c:v>
                </c:pt>
                <c:pt idx="13">
                  <c:v>0.437</c:v>
                </c:pt>
                <c:pt idx="14">
                  <c:v>0.33199999999999996</c:v>
                </c:pt>
                <c:pt idx="15">
                  <c:v>1.1519999999999999</c:v>
                </c:pt>
                <c:pt idx="16">
                  <c:v>1.7</c:v>
                </c:pt>
                <c:pt idx="17">
                  <c:v>0.13400000000000001</c:v>
                </c:pt>
                <c:pt idx="18">
                  <c:v>0.65900000000000003</c:v>
                </c:pt>
                <c:pt idx="19">
                  <c:v>0.434</c:v>
                </c:pt>
                <c:pt idx="20">
                  <c:v>1.3439999999999999</c:v>
                </c:pt>
                <c:pt idx="21">
                  <c:v>1.659</c:v>
                </c:pt>
                <c:pt idx="22">
                  <c:v>2.3780000000000001</c:v>
                </c:pt>
                <c:pt idx="23">
                  <c:v>0.57800000000000007</c:v>
                </c:pt>
                <c:pt idx="24">
                  <c:v>0.312</c:v>
                </c:pt>
                <c:pt idx="25">
                  <c:v>0.23599999999999999</c:v>
                </c:pt>
                <c:pt idx="26">
                  <c:v>0.63200000000000001</c:v>
                </c:pt>
                <c:pt idx="27">
                  <c:v>0.23900000000000002</c:v>
                </c:pt>
                <c:pt idx="28">
                  <c:v>0.65800000000000003</c:v>
                </c:pt>
                <c:pt idx="29">
                  <c:v>0.51800000000000002</c:v>
                </c:pt>
              </c:numCache>
            </c:numRef>
          </c:val>
        </c:ser>
        <c:ser>
          <c:idx val="2"/>
          <c:order val="2"/>
          <c:tx>
            <c:v>No Buffer - Best Mgmt</c:v>
          </c:tx>
          <c:spPr>
            <a:solidFill>
              <a:schemeClr val="accent2">
                <a:lumMod val="20000"/>
                <a:lumOff val="80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RESULTS'!$G$4:$G$33</c:f>
              <c:numCache>
                <c:formatCode>General</c:formatCode>
                <c:ptCount val="30"/>
                <c:pt idx="0">
                  <c:v>0.43899999999999995</c:v>
                </c:pt>
                <c:pt idx="1">
                  <c:v>0.65700000000000003</c:v>
                </c:pt>
                <c:pt idx="2">
                  <c:v>5.0540000000000003</c:v>
                </c:pt>
                <c:pt idx="3">
                  <c:v>0.57699999999999996</c:v>
                </c:pt>
                <c:pt idx="4">
                  <c:v>0.6</c:v>
                </c:pt>
                <c:pt idx="5">
                  <c:v>0.48299999999999998</c:v>
                </c:pt>
                <c:pt idx="6">
                  <c:v>0.38500000000000001</c:v>
                </c:pt>
                <c:pt idx="7">
                  <c:v>0.503</c:v>
                </c:pt>
                <c:pt idx="8">
                  <c:v>0.47699999999999998</c:v>
                </c:pt>
                <c:pt idx="9">
                  <c:v>0.53800000000000003</c:v>
                </c:pt>
                <c:pt idx="10">
                  <c:v>0.185</c:v>
                </c:pt>
                <c:pt idx="11">
                  <c:v>0.496</c:v>
                </c:pt>
                <c:pt idx="12">
                  <c:v>0.30399999999999999</c:v>
                </c:pt>
                <c:pt idx="13">
                  <c:v>0.45</c:v>
                </c:pt>
                <c:pt idx="14">
                  <c:v>0.309</c:v>
                </c:pt>
                <c:pt idx="15">
                  <c:v>1.1179999999999999</c:v>
                </c:pt>
                <c:pt idx="16">
                  <c:v>1.69</c:v>
                </c:pt>
                <c:pt idx="17">
                  <c:v>0.126</c:v>
                </c:pt>
                <c:pt idx="18">
                  <c:v>0.65700000000000003</c:v>
                </c:pt>
                <c:pt idx="19">
                  <c:v>0.41</c:v>
                </c:pt>
                <c:pt idx="20">
                  <c:v>1.2689999999999999</c:v>
                </c:pt>
                <c:pt idx="21">
                  <c:v>1.6440000000000001</c:v>
                </c:pt>
                <c:pt idx="22">
                  <c:v>2.3289999999999997</c:v>
                </c:pt>
                <c:pt idx="23">
                  <c:v>0.55899999999999994</c:v>
                </c:pt>
                <c:pt idx="24">
                  <c:v>0.3</c:v>
                </c:pt>
                <c:pt idx="25">
                  <c:v>0.19500000000000001</c:v>
                </c:pt>
                <c:pt idx="26">
                  <c:v>0.60199999999999998</c:v>
                </c:pt>
                <c:pt idx="27">
                  <c:v>0.20400000000000001</c:v>
                </c:pt>
                <c:pt idx="28">
                  <c:v>0.63200000000000001</c:v>
                </c:pt>
                <c:pt idx="29">
                  <c:v>0.496</c:v>
                </c:pt>
              </c:numCache>
            </c:numRef>
          </c:val>
        </c:ser>
        <c:ser>
          <c:idx val="3"/>
          <c:order val="3"/>
          <c:tx>
            <c:v>16.5' Buffer - Poor Mgmt</c:v>
          </c:tx>
          <c:spPr>
            <a:solidFill>
              <a:schemeClr val="accent3">
                <a:lumMod val="50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RESULTS'!$I$4:$I$33</c:f>
              <c:numCache>
                <c:formatCode>0.00</c:formatCode>
                <c:ptCount val="30"/>
                <c:pt idx="0">
                  <c:v>0.66048792074666185</c:v>
                </c:pt>
                <c:pt idx="1">
                  <c:v>0.52586939009181966</c:v>
                </c:pt>
                <c:pt idx="2">
                  <c:v>7.0420162973467528</c:v>
                </c:pt>
                <c:pt idx="3">
                  <c:v>0.77252798322207428</c:v>
                </c:pt>
                <c:pt idx="4">
                  <c:v>0.93125532688519341</c:v>
                </c:pt>
                <c:pt idx="5">
                  <c:v>0.2552568977068333</c:v>
                </c:pt>
                <c:pt idx="6">
                  <c:v>0.61608596219789258</c:v>
                </c:pt>
                <c:pt idx="7">
                  <c:v>0.79629554480044618</c:v>
                </c:pt>
                <c:pt idx="8">
                  <c:v>0.78612462659139715</c:v>
                </c:pt>
                <c:pt idx="9">
                  <c:v>0.85310802672699548</c:v>
                </c:pt>
                <c:pt idx="10">
                  <c:v>8.8083229380316458E-2</c:v>
                </c:pt>
                <c:pt idx="11">
                  <c:v>0.87264049112468056</c:v>
                </c:pt>
                <c:pt idx="12">
                  <c:v>0.48263411527869954</c:v>
                </c:pt>
                <c:pt idx="13">
                  <c:v>0.48811859386141204</c:v>
                </c:pt>
                <c:pt idx="14">
                  <c:v>0.58840620223101192</c:v>
                </c:pt>
                <c:pt idx="15">
                  <c:v>1.8154813056176125</c:v>
                </c:pt>
                <c:pt idx="16">
                  <c:v>2.2353090098188662</c:v>
                </c:pt>
                <c:pt idx="17">
                  <c:v>0</c:v>
                </c:pt>
                <c:pt idx="18">
                  <c:v>1.0028903520302084</c:v>
                </c:pt>
                <c:pt idx="19">
                  <c:v>0.78891094214779478</c:v>
                </c:pt>
                <c:pt idx="20">
                  <c:v>2.1261149890883067</c:v>
                </c:pt>
                <c:pt idx="21">
                  <c:v>2.2616200795783272</c:v>
                </c:pt>
                <c:pt idx="22">
                  <c:v>3.4366932917313311</c:v>
                </c:pt>
                <c:pt idx="23">
                  <c:v>0.60433987814561019</c:v>
                </c:pt>
                <c:pt idx="24">
                  <c:v>0.33847717981411113</c:v>
                </c:pt>
                <c:pt idx="25">
                  <c:v>0.57743724506558691</c:v>
                </c:pt>
                <c:pt idx="26">
                  <c:v>0.87673307629361175</c:v>
                </c:pt>
                <c:pt idx="27">
                  <c:v>0.40113645012571986</c:v>
                </c:pt>
                <c:pt idx="28">
                  <c:v>0.98982110641304055</c:v>
                </c:pt>
                <c:pt idx="29">
                  <c:v>0.74510559030851176</c:v>
                </c:pt>
              </c:numCache>
            </c:numRef>
          </c:val>
        </c:ser>
        <c:ser>
          <c:idx val="4"/>
          <c:order val="4"/>
          <c:tx>
            <c:v>16.5' Buffer - Avg Mgmt</c:v>
          </c:tx>
          <c:spPr>
            <a:solidFill>
              <a:schemeClr val="accent3">
                <a:lumMod val="75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RESULTS'!$K$4:$K$33</c:f>
              <c:numCache>
                <c:formatCode>0.00</c:formatCode>
                <c:ptCount val="30"/>
                <c:pt idx="0">
                  <c:v>0.35335712011476217</c:v>
                </c:pt>
                <c:pt idx="1">
                  <c:v>0.36951401464135658</c:v>
                </c:pt>
                <c:pt idx="2">
                  <c:v>5.0362102269359843</c:v>
                </c:pt>
                <c:pt idx="3">
                  <c:v>0.45756221318629953</c:v>
                </c:pt>
                <c:pt idx="4">
                  <c:v>0.57308020116011915</c:v>
                </c:pt>
                <c:pt idx="5">
                  <c:v>0.12520731296730844</c:v>
                </c:pt>
                <c:pt idx="6">
                  <c:v>0.35154184586507992</c:v>
                </c:pt>
                <c:pt idx="7">
                  <c:v>0.45629421407740167</c:v>
                </c:pt>
                <c:pt idx="8">
                  <c:v>0.43911340088892242</c:v>
                </c:pt>
                <c:pt idx="9">
                  <c:v>0.51074842603393733</c:v>
                </c:pt>
                <c:pt idx="10">
                  <c:v>3.9199342917941873E-2</c:v>
                </c:pt>
                <c:pt idx="11">
                  <c:v>0.46872246115343985</c:v>
                </c:pt>
                <c:pt idx="12">
                  <c:v>0.23269859129508733</c:v>
                </c:pt>
                <c:pt idx="13">
                  <c:v>0.34238816294933716</c:v>
                </c:pt>
                <c:pt idx="14">
                  <c:v>0.26012098420864971</c:v>
                </c:pt>
                <c:pt idx="15">
                  <c:v>1.1360317566928244</c:v>
                </c:pt>
                <c:pt idx="16">
                  <c:v>1.5091442878046359</c:v>
                </c:pt>
                <c:pt idx="17">
                  <c:v>0</c:v>
                </c:pt>
                <c:pt idx="18">
                  <c:v>0.61308417624110145</c:v>
                </c:pt>
                <c:pt idx="19">
                  <c:v>0.42798418611517863</c:v>
                </c:pt>
                <c:pt idx="20">
                  <c:v>1.325370382808295</c:v>
                </c:pt>
                <c:pt idx="21">
                  <c:v>1.5434091781244117</c:v>
                </c:pt>
                <c:pt idx="22">
                  <c:v>2.3450377755343199</c:v>
                </c:pt>
                <c:pt idx="23">
                  <c:v>0.33847717981411113</c:v>
                </c:pt>
                <c:pt idx="24">
                  <c:v>0.18270740502076585</c:v>
                </c:pt>
                <c:pt idx="25">
                  <c:v>0.18490527793144981</c:v>
                </c:pt>
                <c:pt idx="26">
                  <c:v>0.49517006632489957</c:v>
                </c:pt>
                <c:pt idx="27">
                  <c:v>0.13995855705116358</c:v>
                </c:pt>
                <c:pt idx="28">
                  <c:v>0.58412761257379442</c:v>
                </c:pt>
                <c:pt idx="29">
                  <c:v>0.40585141512072465</c:v>
                </c:pt>
              </c:numCache>
            </c:numRef>
          </c:val>
        </c:ser>
        <c:ser>
          <c:idx val="5"/>
          <c:order val="5"/>
          <c:tx>
            <c:v>16.5' Buffer - Best Mgmt</c:v>
          </c:tx>
          <c:spPr>
            <a:solidFill>
              <a:schemeClr val="accent3">
                <a:lumMod val="60000"/>
                <a:lumOff val="40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RESULTS'!$M$4:$M$33</c:f>
              <c:numCache>
                <c:formatCode>0.00</c:formatCode>
                <c:ptCount val="30"/>
                <c:pt idx="0">
                  <c:v>0.34395515683011213</c:v>
                </c:pt>
                <c:pt idx="1">
                  <c:v>0.38473963172642039</c:v>
                </c:pt>
                <c:pt idx="2">
                  <c:v>4.9839448770186934</c:v>
                </c:pt>
                <c:pt idx="3">
                  <c:v>0.45207773460358708</c:v>
                </c:pt>
                <c:pt idx="4">
                  <c:v>0.5581950011299861</c:v>
                </c:pt>
                <c:pt idx="5">
                  <c:v>0.11137225076097604</c:v>
                </c:pt>
                <c:pt idx="6">
                  <c:v>0.34177679459104987</c:v>
                </c:pt>
                <c:pt idx="7">
                  <c:v>0.44652916280337168</c:v>
                </c:pt>
                <c:pt idx="8">
                  <c:v>0.44376502589833899</c:v>
                </c:pt>
                <c:pt idx="9">
                  <c:v>0.50051485101322091</c:v>
                </c:pt>
                <c:pt idx="10">
                  <c:v>4.2658108469524982E-2</c:v>
                </c:pt>
                <c:pt idx="11">
                  <c:v>0.44031503926535259</c:v>
                </c:pt>
                <c:pt idx="12">
                  <c:v>0.23818306987779977</c:v>
                </c:pt>
                <c:pt idx="13">
                  <c:v>0.35257362317437468</c:v>
                </c:pt>
                <c:pt idx="14">
                  <c:v>0.24210055457973728</c:v>
                </c:pt>
                <c:pt idx="15">
                  <c:v>1.1025030416515429</c:v>
                </c:pt>
                <c:pt idx="16">
                  <c:v>1.5002669684646086</c:v>
                </c:pt>
                <c:pt idx="17">
                  <c:v>0</c:v>
                </c:pt>
                <c:pt idx="18">
                  <c:v>0.61122352623733489</c:v>
                </c:pt>
                <c:pt idx="19">
                  <c:v>0.40431685785074478</c:v>
                </c:pt>
                <c:pt idx="20">
                  <c:v>1.2514099819819393</c:v>
                </c:pt>
                <c:pt idx="21">
                  <c:v>1.5294543030961623</c:v>
                </c:pt>
                <c:pt idx="22">
                  <c:v>2.2967169803277669</c:v>
                </c:pt>
                <c:pt idx="23">
                  <c:v>0.32735076732887214</c:v>
                </c:pt>
                <c:pt idx="24">
                  <c:v>0.17568019713535177</c:v>
                </c:pt>
                <c:pt idx="25">
                  <c:v>0.15278190337556236</c:v>
                </c:pt>
                <c:pt idx="26">
                  <c:v>0.47166515811327453</c:v>
                </c:pt>
                <c:pt idx="27">
                  <c:v>0.11946253405203922</c:v>
                </c:pt>
                <c:pt idx="28">
                  <c:v>0.56104658228972348</c:v>
                </c:pt>
                <c:pt idx="29">
                  <c:v>0.38861448243219965</c:v>
                </c:pt>
              </c:numCache>
            </c:numRef>
          </c:val>
        </c:ser>
        <c:ser>
          <c:idx val="6"/>
          <c:order val="6"/>
          <c:tx>
            <c:v>50' Buffer - Poor Mgmt</c:v>
          </c:tx>
          <c:spPr>
            <a:solidFill>
              <a:srgbClr val="0000CC"/>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RESULTS'!$Q$4:$Q$33</c:f>
              <c:numCache>
                <c:formatCode>0.00</c:formatCode>
                <c:ptCount val="30"/>
                <c:pt idx="0">
                  <c:v>0.40734684198422988</c:v>
                </c:pt>
                <c:pt idx="1">
                  <c:v>0.18679833164190157</c:v>
                </c:pt>
                <c:pt idx="2">
                  <c:v>6.8591197745306083</c:v>
                </c:pt>
                <c:pt idx="3">
                  <c:v>0.47644600972295453</c:v>
                </c:pt>
                <c:pt idx="4">
                  <c:v>0.82335056097493731</c:v>
                </c:pt>
                <c:pt idx="5">
                  <c:v>4.2228517544311693E-2</c:v>
                </c:pt>
                <c:pt idx="6">
                  <c:v>0.4850976349210287</c:v>
                </c:pt>
                <c:pt idx="7">
                  <c:v>0.62699218807516244</c:v>
                </c:pt>
                <c:pt idx="8">
                  <c:v>0.69503618783598609</c:v>
                </c:pt>
                <c:pt idx="9">
                  <c:v>0.75425820620780981</c:v>
                </c:pt>
                <c:pt idx="10">
                  <c:v>1.4572081031551101E-2</c:v>
                </c:pt>
                <c:pt idx="11">
                  <c:v>0.68710515148036189</c:v>
                </c:pt>
                <c:pt idx="12">
                  <c:v>0.29765795333604461</c:v>
                </c:pt>
                <c:pt idx="13">
                  <c:v>0.30104043007849968</c:v>
                </c:pt>
                <c:pt idx="14">
                  <c:v>0.36289143336910634</c:v>
                </c:pt>
                <c:pt idx="15">
                  <c:v>1.7683292963045583</c:v>
                </c:pt>
                <c:pt idx="16">
                  <c:v>1.7600516494685159</c:v>
                </c:pt>
                <c:pt idx="17">
                  <c:v>0</c:v>
                </c:pt>
                <c:pt idx="18">
                  <c:v>0.88668521951147095</c:v>
                </c:pt>
                <c:pt idx="19">
                  <c:v>0.76842120426053595</c:v>
                </c:pt>
                <c:pt idx="20">
                  <c:v>2.0708951454821438</c:v>
                </c:pt>
                <c:pt idx="21">
                  <c:v>1.9995656480819908</c:v>
                </c:pt>
                <c:pt idx="22">
                  <c:v>3.34743487105996</c:v>
                </c:pt>
                <c:pt idx="23">
                  <c:v>0.2146724702165283</c:v>
                </c:pt>
                <c:pt idx="24">
                  <c:v>0.12023322459801683</c:v>
                </c:pt>
                <c:pt idx="25">
                  <c:v>0.35612647988419627</c:v>
                </c:pt>
                <c:pt idx="26">
                  <c:v>0.5407130678296006</c:v>
                </c:pt>
                <c:pt idx="27">
                  <c:v>0.14249093226581577</c:v>
                </c:pt>
                <c:pt idx="28">
                  <c:v>0.77937156042787747</c:v>
                </c:pt>
                <c:pt idx="29">
                  <c:v>0.45953362601067926</c:v>
                </c:pt>
              </c:numCache>
            </c:numRef>
          </c:val>
        </c:ser>
        <c:ser>
          <c:idx val="7"/>
          <c:order val="7"/>
          <c:tx>
            <c:v>50' Buffer - Avg Mgmt</c:v>
          </c:tx>
          <c:spPr>
            <a:solidFill>
              <a:schemeClr val="tx2">
                <a:lumMod val="60000"/>
                <a:lumOff val="40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RESULTS'!$S$4:$S$33</c:f>
              <c:numCache>
                <c:formatCode>0.00</c:formatCode>
                <c:ptCount val="30"/>
                <c:pt idx="0">
                  <c:v>0.21792814440674693</c:v>
                </c:pt>
                <c:pt idx="1">
                  <c:v>0.13125807045216023</c:v>
                </c:pt>
                <c:pt idx="2">
                  <c:v>4.905408862698196</c:v>
                </c:pt>
                <c:pt idx="3">
                  <c:v>0.28219520251339297</c:v>
                </c:pt>
                <c:pt idx="4">
                  <c:v>0.50667726829226911</c:v>
                </c:pt>
                <c:pt idx="5">
                  <c:v>2.0713717277833107E-2</c:v>
                </c:pt>
                <c:pt idx="6">
                  <c:v>0.2767992268425466</c:v>
                </c:pt>
                <c:pt idx="7">
                  <c:v>0.35927980453805292</c:v>
                </c:pt>
                <c:pt idx="8">
                  <c:v>0.38823323154862183</c:v>
                </c:pt>
                <c:pt idx="9">
                  <c:v>0.45156789008515552</c:v>
                </c:pt>
                <c:pt idx="10">
                  <c:v>6.48495752713007E-3</c:v>
                </c:pt>
                <c:pt idx="11">
                  <c:v>0.36906563579006219</c:v>
                </c:pt>
                <c:pt idx="12">
                  <c:v>0.14351365607273583</c:v>
                </c:pt>
                <c:pt idx="13">
                  <c:v>0.21116319092183686</c:v>
                </c:pt>
                <c:pt idx="14">
                  <c:v>0.16042603978501105</c:v>
                </c:pt>
                <c:pt idx="15">
                  <c:v>1.1065265341351715</c:v>
                </c:pt>
                <c:pt idx="16">
                  <c:v>1.1882795091725487</c:v>
                </c:pt>
                <c:pt idx="17">
                  <c:v>0</c:v>
                </c:pt>
                <c:pt idx="18">
                  <c:v>0.54204597370877494</c:v>
                </c:pt>
                <c:pt idx="19">
                  <c:v>0.41686850331134073</c:v>
                </c:pt>
                <c:pt idx="20">
                  <c:v>1.2909476231577002</c:v>
                </c:pt>
                <c:pt idx="21">
                  <c:v>1.3645740066507703</c:v>
                </c:pt>
                <c:pt idx="22">
                  <c:v>2.284132029664443</c:v>
                </c:pt>
                <c:pt idx="23">
                  <c:v>0.12023322459801683</c:v>
                </c:pt>
                <c:pt idx="24">
                  <c:v>6.4900979367787631E-2</c:v>
                </c:pt>
                <c:pt idx="25">
                  <c:v>0.11403778731705605</c:v>
                </c:pt>
                <c:pt idx="26">
                  <c:v>0.30538932874737046</c:v>
                </c:pt>
                <c:pt idx="27">
                  <c:v>4.9715814323401421E-2</c:v>
                </c:pt>
                <c:pt idx="28">
                  <c:v>0.45993406884443355</c:v>
                </c:pt>
                <c:pt idx="29">
                  <c:v>0.25030327894167392</c:v>
                </c:pt>
              </c:numCache>
            </c:numRef>
          </c:val>
        </c:ser>
        <c:ser>
          <c:idx val="8"/>
          <c:order val="8"/>
          <c:tx>
            <c:v>50' Buffer - Best Mgmt</c:v>
          </c:tx>
          <c:spPr>
            <a:solidFill>
              <a:schemeClr val="tx2">
                <a:lumMod val="20000"/>
                <a:lumOff val="80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RESULTS'!$U$4:$U$33</c:f>
              <c:numCache>
                <c:formatCode>0.00</c:formatCode>
                <c:ptCount val="30"/>
                <c:pt idx="0">
                  <c:v>0.21212961284825257</c:v>
                </c:pt>
                <c:pt idx="1">
                  <c:v>0.13666648539947587</c:v>
                </c:pt>
                <c:pt idx="2">
                  <c:v>4.8545009579159357</c:v>
                </c:pt>
                <c:pt idx="3">
                  <c:v>0.27881272577093791</c:v>
                </c:pt>
                <c:pt idx="4">
                  <c:v>0.49351681976519723</c:v>
                </c:pt>
                <c:pt idx="5">
                  <c:v>1.8424908738846023E-2</c:v>
                </c:pt>
                <c:pt idx="6">
                  <c:v>0.26911035943025363</c:v>
                </c:pt>
                <c:pt idx="7">
                  <c:v>0.35159093712575995</c:v>
                </c:pt>
                <c:pt idx="8">
                  <c:v>0.3923458717133318</c:v>
                </c:pt>
                <c:pt idx="9">
                  <c:v>0.44252008172279356</c:v>
                </c:pt>
                <c:pt idx="10">
                  <c:v>7.0571596618768419E-3</c:v>
                </c:pt>
                <c:pt idx="11">
                  <c:v>0.34669802149975537</c:v>
                </c:pt>
                <c:pt idx="12">
                  <c:v>0.14689613281519084</c:v>
                </c:pt>
                <c:pt idx="13">
                  <c:v>0.2174449334435391</c:v>
                </c:pt>
                <c:pt idx="14">
                  <c:v>0.14931218763123019</c:v>
                </c:pt>
                <c:pt idx="15">
                  <c:v>1.0738686329540987</c:v>
                </c:pt>
                <c:pt idx="16">
                  <c:v>1.1812896297068276</c:v>
                </c:pt>
                <c:pt idx="17">
                  <c:v>0</c:v>
                </c:pt>
                <c:pt idx="18">
                  <c:v>0.540400917642891</c:v>
                </c:pt>
                <c:pt idx="19">
                  <c:v>0.39381586718352463</c:v>
                </c:pt>
                <c:pt idx="20">
                  <c:v>1.2189081352582749</c:v>
                </c:pt>
                <c:pt idx="21">
                  <c:v>1.3522360861566405</c:v>
                </c:pt>
                <c:pt idx="22">
                  <c:v>2.2370662309034848</c:v>
                </c:pt>
                <c:pt idx="23">
                  <c:v>0.11628092136728616</c:v>
                </c:pt>
                <c:pt idx="24">
                  <c:v>6.2404787853641945E-2</c:v>
                </c:pt>
                <c:pt idx="25">
                  <c:v>9.4226137825533615E-2</c:v>
                </c:pt>
                <c:pt idx="26">
                  <c:v>0.29089299985113454</c:v>
                </c:pt>
                <c:pt idx="27">
                  <c:v>4.2435255740476525E-2</c:v>
                </c:pt>
                <c:pt idx="28">
                  <c:v>0.44176038223355923</c:v>
                </c:pt>
                <c:pt idx="29">
                  <c:v>0.23967263775110087</c:v>
                </c:pt>
              </c:numCache>
            </c:numRef>
          </c:val>
        </c:ser>
        <c:dLbls>
          <c:showLegendKey val="0"/>
          <c:showVal val="0"/>
          <c:showCatName val="0"/>
          <c:showSerName val="0"/>
          <c:showPercent val="0"/>
          <c:showBubbleSize val="0"/>
        </c:dLbls>
        <c:gapWidth val="150"/>
        <c:axId val="853757952"/>
        <c:axId val="849096064"/>
      </c:barChart>
      <c:catAx>
        <c:axId val="853757952"/>
        <c:scaling>
          <c:orientation val="minMax"/>
        </c:scaling>
        <c:delete val="0"/>
        <c:axPos val="b"/>
        <c:majorTickMark val="out"/>
        <c:minorTickMark val="none"/>
        <c:tickLblPos val="nextTo"/>
        <c:crossAx val="849096064"/>
        <c:crosses val="autoZero"/>
        <c:auto val="1"/>
        <c:lblAlgn val="ctr"/>
        <c:lblOffset val="100"/>
        <c:noMultiLvlLbl val="0"/>
      </c:catAx>
      <c:valAx>
        <c:axId val="849096064"/>
        <c:scaling>
          <c:orientation val="minMax"/>
        </c:scaling>
        <c:delete val="0"/>
        <c:axPos val="l"/>
        <c:majorGridlines/>
        <c:numFmt formatCode="General" sourceLinked="1"/>
        <c:majorTickMark val="out"/>
        <c:minorTickMark val="none"/>
        <c:tickLblPos val="nextTo"/>
        <c:crossAx val="853757952"/>
        <c:crosses val="autoZero"/>
        <c:crossBetween val="between"/>
      </c:valAx>
    </c:plotArea>
    <c:legend>
      <c:legendPos val="r"/>
      <c:layout>
        <c:manualLayout>
          <c:xMode val="edge"/>
          <c:yMode val="edge"/>
          <c:x val="0.86328086532758541"/>
          <c:y val="0.21988913083513295"/>
          <c:w val="0.13252936263175308"/>
          <c:h val="0.4883481156587348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Phosphorus Export</a:t>
            </a:r>
            <a:r>
              <a:rPr lang="en-US" baseline="0"/>
              <a:t> Reductions of a 16.5' Buffer (lbs P/ac/yr)</a:t>
            </a:r>
            <a:endParaRPr lang="en-US"/>
          </a:p>
        </c:rich>
      </c:tx>
      <c:overlay val="0"/>
    </c:title>
    <c:autoTitleDeleted val="0"/>
    <c:plotArea>
      <c:layout>
        <c:manualLayout>
          <c:layoutTarget val="inner"/>
          <c:xMode val="edge"/>
          <c:yMode val="edge"/>
          <c:x val="6.5318301584783259E-2"/>
          <c:y val="0.1316932619763401"/>
          <c:w val="0.90844371193931717"/>
          <c:h val="0.65488660191761017"/>
        </c:manualLayout>
      </c:layout>
      <c:barChart>
        <c:barDir val="col"/>
        <c:grouping val="clustered"/>
        <c:varyColors val="0"/>
        <c:ser>
          <c:idx val="0"/>
          <c:order val="0"/>
          <c:tx>
            <c:v>Poor Mgmt</c:v>
          </c:tx>
          <c:spPr>
            <a:solidFill>
              <a:srgbClr val="FF00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RESULTS'!$Y$4:$Y$33</c:f>
              <c:numCache>
                <c:formatCode>0.00</c:formatCode>
                <c:ptCount val="30"/>
                <c:pt idx="0">
                  <c:v>0.18251207925333812</c:v>
                </c:pt>
                <c:pt idx="1">
                  <c:v>0.37213060990818037</c:v>
                </c:pt>
                <c:pt idx="2">
                  <c:v>9.8983702653247185E-2</c:v>
                </c:pt>
                <c:pt idx="3">
                  <c:v>0.21347201677792571</c:v>
                </c:pt>
                <c:pt idx="4">
                  <c:v>6.9744673114806477E-2</c:v>
                </c:pt>
                <c:pt idx="5">
                  <c:v>0.85174310229316674</c:v>
                </c:pt>
                <c:pt idx="6">
                  <c:v>7.7914037802107483E-2</c:v>
                </c:pt>
                <c:pt idx="7">
                  <c:v>0.10070445519955384</c:v>
                </c:pt>
                <c:pt idx="8">
                  <c:v>5.8875373408602827E-2</c:v>
                </c:pt>
                <c:pt idx="9">
                  <c:v>6.3891973273004554E-2</c:v>
                </c:pt>
                <c:pt idx="10">
                  <c:v>0.29391677061968358</c:v>
                </c:pt>
                <c:pt idx="11">
                  <c:v>0.11035950887531942</c:v>
                </c:pt>
                <c:pt idx="12">
                  <c:v>0.13336588472130045</c:v>
                </c:pt>
                <c:pt idx="13">
                  <c:v>0.13488140613858796</c:v>
                </c:pt>
                <c:pt idx="14">
                  <c:v>0.16259379776898808</c:v>
                </c:pt>
                <c:pt idx="15">
                  <c:v>2.5518694382387519E-2</c:v>
                </c:pt>
                <c:pt idx="16">
                  <c:v>0.28269099018113364</c:v>
                </c:pt>
                <c:pt idx="17">
                  <c:v>0.39500000000000002</c:v>
                </c:pt>
                <c:pt idx="18">
                  <c:v>7.5109647969791471E-2</c:v>
                </c:pt>
                <c:pt idx="19">
                  <c:v>1.1089057852205264E-2</c:v>
                </c:pt>
                <c:pt idx="20">
                  <c:v>2.9885010911693044E-2</c:v>
                </c:pt>
                <c:pt idx="21">
                  <c:v>0.16937992042167282</c:v>
                </c:pt>
                <c:pt idx="22">
                  <c:v>4.830670826866923E-2</c:v>
                </c:pt>
                <c:pt idx="23">
                  <c:v>0.42766012185438984</c:v>
                </c:pt>
                <c:pt idx="24">
                  <c:v>0.23952282018588894</c:v>
                </c:pt>
                <c:pt idx="25">
                  <c:v>0.15956275493441308</c:v>
                </c:pt>
                <c:pt idx="26">
                  <c:v>0.24226692370638825</c:v>
                </c:pt>
                <c:pt idx="27">
                  <c:v>0.28386354987428009</c:v>
                </c:pt>
                <c:pt idx="28">
                  <c:v>0.12517889358695944</c:v>
                </c:pt>
                <c:pt idx="29">
                  <c:v>0.2058944096914882</c:v>
                </c:pt>
              </c:numCache>
            </c:numRef>
          </c:val>
        </c:ser>
        <c:ser>
          <c:idx val="1"/>
          <c:order val="1"/>
          <c:tx>
            <c:v>Avg Mgmt</c:v>
          </c:tx>
          <c:spPr>
            <a:solidFill>
              <a:srgbClr val="FFCC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RESULTS'!$AA$4:$AA$33</c:f>
              <c:numCache>
                <c:formatCode>0.00</c:formatCode>
                <c:ptCount val="30"/>
                <c:pt idx="0">
                  <c:v>9.7642879885237788E-2</c:v>
                </c:pt>
                <c:pt idx="1">
                  <c:v>0.26148598535864342</c:v>
                </c:pt>
                <c:pt idx="2">
                  <c:v>7.0789773064015904E-2</c:v>
                </c:pt>
                <c:pt idx="3">
                  <c:v>0.12643778681370044</c:v>
                </c:pt>
                <c:pt idx="4">
                  <c:v>4.2919798839880841E-2</c:v>
                </c:pt>
                <c:pt idx="5">
                  <c:v>0.41779268703269146</c:v>
                </c:pt>
                <c:pt idx="6">
                  <c:v>4.4458154134920103E-2</c:v>
                </c:pt>
                <c:pt idx="7">
                  <c:v>5.770578592259834E-2</c:v>
                </c:pt>
                <c:pt idx="8">
                  <c:v>3.2886599111077552E-2</c:v>
                </c:pt>
                <c:pt idx="9">
                  <c:v>3.8251573966062713E-2</c:v>
                </c:pt>
                <c:pt idx="10">
                  <c:v>0.13080065708205812</c:v>
                </c:pt>
                <c:pt idx="11">
                  <c:v>5.9277538846560174E-2</c:v>
                </c:pt>
                <c:pt idx="12">
                  <c:v>6.4301408704912716E-2</c:v>
                </c:pt>
                <c:pt idx="13">
                  <c:v>9.4611837050662839E-2</c:v>
                </c:pt>
                <c:pt idx="14">
                  <c:v>7.1879015791350254E-2</c:v>
                </c:pt>
                <c:pt idx="15">
                  <c:v>1.59682433071755E-2</c:v>
                </c:pt>
                <c:pt idx="16">
                  <c:v>0.19085571219536401</c:v>
                </c:pt>
                <c:pt idx="17">
                  <c:v>0.13400000000000001</c:v>
                </c:pt>
                <c:pt idx="18">
                  <c:v>4.5915823758898577E-2</c:v>
                </c:pt>
                <c:pt idx="19">
                  <c:v>6.0158138848213638E-3</c:v>
                </c:pt>
                <c:pt idx="20">
                  <c:v>1.8629617191704861E-2</c:v>
                </c:pt>
                <c:pt idx="21">
                  <c:v>0.11559082187558833</c:v>
                </c:pt>
                <c:pt idx="22">
                  <c:v>3.2962224465680201E-2</c:v>
                </c:pt>
                <c:pt idx="23">
                  <c:v>0.23952282018588894</c:v>
                </c:pt>
                <c:pt idx="24">
                  <c:v>0.12929259497923415</c:v>
                </c:pt>
                <c:pt idx="25">
                  <c:v>5.1094722068550175E-2</c:v>
                </c:pt>
                <c:pt idx="26">
                  <c:v>0.13682993367510043</c:v>
                </c:pt>
                <c:pt idx="27">
                  <c:v>9.9041442948836433E-2</c:v>
                </c:pt>
                <c:pt idx="28">
                  <c:v>7.387238742620561E-2</c:v>
                </c:pt>
                <c:pt idx="29">
                  <c:v>0.11214858487927537</c:v>
                </c:pt>
              </c:numCache>
            </c:numRef>
          </c:val>
        </c:ser>
        <c:ser>
          <c:idx val="2"/>
          <c:order val="2"/>
          <c:tx>
            <c:v>Best Mgmt</c:v>
          </c:tx>
          <c:spPr>
            <a:solidFill>
              <a:srgbClr val="339966"/>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RESULTS'!$AC$4:$AC$33</c:f>
              <c:numCache>
                <c:formatCode>0.00</c:formatCode>
                <c:ptCount val="30"/>
                <c:pt idx="0">
                  <c:v>9.5044843169887816E-2</c:v>
                </c:pt>
                <c:pt idx="1">
                  <c:v>0.27226036827357963</c:v>
                </c:pt>
                <c:pt idx="2">
                  <c:v>7.0055122981306894E-2</c:v>
                </c:pt>
                <c:pt idx="3">
                  <c:v>0.12492226539641288</c:v>
                </c:pt>
                <c:pt idx="4">
                  <c:v>4.1804998870013876E-2</c:v>
                </c:pt>
                <c:pt idx="5">
                  <c:v>0.37162774923902397</c:v>
                </c:pt>
                <c:pt idx="6">
                  <c:v>4.3223205408950138E-2</c:v>
                </c:pt>
                <c:pt idx="7">
                  <c:v>5.6470837196628321E-2</c:v>
                </c:pt>
                <c:pt idx="8">
                  <c:v>3.3234974101660986E-2</c:v>
                </c:pt>
                <c:pt idx="9">
                  <c:v>3.7485148986779127E-2</c:v>
                </c:pt>
                <c:pt idx="10">
                  <c:v>0.14234189153047502</c:v>
                </c:pt>
                <c:pt idx="11">
                  <c:v>5.5684960734647404E-2</c:v>
                </c:pt>
                <c:pt idx="12">
                  <c:v>6.5816930122200218E-2</c:v>
                </c:pt>
                <c:pt idx="13">
                  <c:v>9.7426376825625327E-2</c:v>
                </c:pt>
                <c:pt idx="14">
                  <c:v>6.6899445420262715E-2</c:v>
                </c:pt>
                <c:pt idx="15">
                  <c:v>1.5496958348456991E-2</c:v>
                </c:pt>
                <c:pt idx="16">
                  <c:v>0.18973303153539134</c:v>
                </c:pt>
                <c:pt idx="17">
                  <c:v>0.126</c:v>
                </c:pt>
                <c:pt idx="18">
                  <c:v>4.5776473762665137E-2</c:v>
                </c:pt>
                <c:pt idx="19">
                  <c:v>5.6831421492551937E-3</c:v>
                </c:pt>
                <c:pt idx="20">
                  <c:v>1.7590018018060594E-2</c:v>
                </c:pt>
                <c:pt idx="21">
                  <c:v>0.11454569690383787</c:v>
                </c:pt>
                <c:pt idx="22">
                  <c:v>3.2283019672232793E-2</c:v>
                </c:pt>
                <c:pt idx="23">
                  <c:v>0.2316492326711278</c:v>
                </c:pt>
                <c:pt idx="24">
                  <c:v>0.12431980286464822</c:v>
                </c:pt>
                <c:pt idx="25">
                  <c:v>4.2218096624437651E-2</c:v>
                </c:pt>
                <c:pt idx="26">
                  <c:v>0.13033484188672545</c:v>
                </c:pt>
                <c:pt idx="27">
                  <c:v>8.4537465947960799E-2</c:v>
                </c:pt>
                <c:pt idx="28">
                  <c:v>7.0953417710276523E-2</c:v>
                </c:pt>
                <c:pt idx="29">
                  <c:v>0.10738551756780035</c:v>
                </c:pt>
              </c:numCache>
            </c:numRef>
          </c:val>
        </c:ser>
        <c:dLbls>
          <c:showLegendKey val="0"/>
          <c:showVal val="0"/>
          <c:showCatName val="0"/>
          <c:showSerName val="0"/>
          <c:showPercent val="0"/>
          <c:showBubbleSize val="0"/>
        </c:dLbls>
        <c:gapWidth val="150"/>
        <c:axId val="801270784"/>
        <c:axId val="850889536"/>
      </c:barChart>
      <c:catAx>
        <c:axId val="801270784"/>
        <c:scaling>
          <c:orientation val="minMax"/>
        </c:scaling>
        <c:delete val="0"/>
        <c:axPos val="b"/>
        <c:majorTickMark val="out"/>
        <c:minorTickMark val="none"/>
        <c:tickLblPos val="nextTo"/>
        <c:txPr>
          <a:bodyPr/>
          <a:lstStyle/>
          <a:p>
            <a:pPr>
              <a:defRPr sz="1050"/>
            </a:pPr>
            <a:endParaRPr lang="en-US"/>
          </a:p>
        </c:txPr>
        <c:crossAx val="850889536"/>
        <c:crosses val="autoZero"/>
        <c:auto val="1"/>
        <c:lblAlgn val="ctr"/>
        <c:lblOffset val="100"/>
        <c:noMultiLvlLbl val="0"/>
      </c:catAx>
      <c:valAx>
        <c:axId val="850889536"/>
        <c:scaling>
          <c:orientation val="minMax"/>
          <c:max val="1.2"/>
        </c:scaling>
        <c:delete val="0"/>
        <c:axPos val="l"/>
        <c:majorGridlines/>
        <c:numFmt formatCode="0.00" sourceLinked="1"/>
        <c:majorTickMark val="out"/>
        <c:minorTickMark val="none"/>
        <c:tickLblPos val="nextTo"/>
        <c:crossAx val="801270784"/>
        <c:crosses val="autoZero"/>
        <c:crossBetween val="between"/>
      </c:valAx>
    </c:plotArea>
    <c:legend>
      <c:legendPos val="r"/>
      <c:layout>
        <c:manualLayout>
          <c:xMode val="edge"/>
          <c:yMode val="edge"/>
          <c:x val="0.33144945462854875"/>
          <c:y val="6.7868744132184952E-2"/>
          <c:w val="0.33573512706583541"/>
          <c:h val="4.543760679287170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Phosphorus Export</a:t>
            </a:r>
            <a:r>
              <a:rPr lang="en-US" baseline="0"/>
              <a:t> Reductions of a 50' Buffer (lbs P/ac/yr)</a:t>
            </a:r>
            <a:endParaRPr lang="en-US"/>
          </a:p>
        </c:rich>
      </c:tx>
      <c:overlay val="0"/>
    </c:title>
    <c:autoTitleDeleted val="0"/>
    <c:plotArea>
      <c:layout>
        <c:manualLayout>
          <c:layoutTarget val="inner"/>
          <c:xMode val="edge"/>
          <c:yMode val="edge"/>
          <c:x val="6.5318301584783259E-2"/>
          <c:y val="0.1316932619763401"/>
          <c:w val="0.90844371193931717"/>
          <c:h val="0.65488660191761017"/>
        </c:manualLayout>
      </c:layout>
      <c:barChart>
        <c:barDir val="col"/>
        <c:grouping val="clustered"/>
        <c:varyColors val="0"/>
        <c:ser>
          <c:idx val="0"/>
          <c:order val="0"/>
          <c:tx>
            <c:v>Poor Management</c:v>
          </c:tx>
          <c:spPr>
            <a:solidFill>
              <a:srgbClr val="FF00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RESULTS'!$AE$4:$AE$33</c:f>
              <c:numCache>
                <c:formatCode>0.00</c:formatCode>
                <c:ptCount val="30"/>
                <c:pt idx="0">
                  <c:v>0.43565315801577009</c:v>
                </c:pt>
                <c:pt idx="1">
                  <c:v>0.71120166835809839</c:v>
                </c:pt>
                <c:pt idx="2">
                  <c:v>0.28188022546939173</c:v>
                </c:pt>
                <c:pt idx="3">
                  <c:v>0.5095539902770454</c:v>
                </c:pt>
                <c:pt idx="4">
                  <c:v>0.17764943902506258</c:v>
                </c:pt>
                <c:pt idx="5">
                  <c:v>1.0647714824556882</c:v>
                </c:pt>
                <c:pt idx="6">
                  <c:v>0.20890236507897136</c:v>
                </c:pt>
                <c:pt idx="7">
                  <c:v>0.27000781192483758</c:v>
                </c:pt>
                <c:pt idx="8">
                  <c:v>0.14996381216401389</c:v>
                </c:pt>
                <c:pt idx="9">
                  <c:v>0.16274179379219023</c:v>
                </c:pt>
                <c:pt idx="10">
                  <c:v>0.3674279189684489</c:v>
                </c:pt>
                <c:pt idx="11">
                  <c:v>0.2958948485196381</c:v>
                </c:pt>
                <c:pt idx="12">
                  <c:v>0.31834204666395538</c:v>
                </c:pt>
                <c:pt idx="13">
                  <c:v>0.32195956992150032</c:v>
                </c:pt>
                <c:pt idx="14">
                  <c:v>0.38810856663089366</c:v>
                </c:pt>
                <c:pt idx="15">
                  <c:v>7.2670703695441707E-2</c:v>
                </c:pt>
                <c:pt idx="16">
                  <c:v>0.75794835053148391</c:v>
                </c:pt>
                <c:pt idx="17">
                  <c:v>0.39500000000000002</c:v>
                </c:pt>
                <c:pt idx="18">
                  <c:v>0.1913147804885289</c:v>
                </c:pt>
                <c:pt idx="19">
                  <c:v>3.1578795739464094E-2</c:v>
                </c:pt>
                <c:pt idx="20">
                  <c:v>8.5104854517855877E-2</c:v>
                </c:pt>
                <c:pt idx="21">
                  <c:v>0.43143435191800927</c:v>
                </c:pt>
                <c:pt idx="22">
                  <c:v>0.13756512894004036</c:v>
                </c:pt>
                <c:pt idx="23">
                  <c:v>0.81732752978347167</c:v>
                </c:pt>
                <c:pt idx="24">
                  <c:v>0.45776677540198324</c:v>
                </c:pt>
                <c:pt idx="25">
                  <c:v>0.38087352011580372</c:v>
                </c:pt>
                <c:pt idx="26">
                  <c:v>0.57828693217039939</c:v>
                </c:pt>
                <c:pt idx="27">
                  <c:v>0.54250906773418417</c:v>
                </c:pt>
                <c:pt idx="28">
                  <c:v>0.33562843957212252</c:v>
                </c:pt>
                <c:pt idx="29">
                  <c:v>0.49146637398932069</c:v>
                </c:pt>
              </c:numCache>
            </c:numRef>
          </c:val>
        </c:ser>
        <c:ser>
          <c:idx val="1"/>
          <c:order val="1"/>
          <c:tx>
            <c:v>Average Management</c:v>
          </c:tx>
          <c:spPr>
            <a:solidFill>
              <a:srgbClr val="FFCC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RESULTS'!$AG$4:$AG$33</c:f>
              <c:numCache>
                <c:formatCode>0.00</c:formatCode>
                <c:ptCount val="30"/>
                <c:pt idx="0">
                  <c:v>0.23307185559325302</c:v>
                </c:pt>
                <c:pt idx="1">
                  <c:v>0.4997419295478398</c:v>
                </c:pt>
                <c:pt idx="2">
                  <c:v>0.20159113730180422</c:v>
                </c:pt>
                <c:pt idx="3">
                  <c:v>0.30180479748660699</c:v>
                </c:pt>
                <c:pt idx="4">
                  <c:v>0.10932273170773088</c:v>
                </c:pt>
                <c:pt idx="5">
                  <c:v>0.52228628272216682</c:v>
                </c:pt>
                <c:pt idx="6">
                  <c:v>0.11920077315745342</c:v>
                </c:pt>
                <c:pt idx="7">
                  <c:v>0.1547201954619471</c:v>
                </c:pt>
                <c:pt idx="8">
                  <c:v>8.3766768451378149E-2</c:v>
                </c:pt>
                <c:pt idx="9">
                  <c:v>9.7432109914844522E-2</c:v>
                </c:pt>
                <c:pt idx="10">
                  <c:v>0.16351504247286991</c:v>
                </c:pt>
                <c:pt idx="11">
                  <c:v>0.15893436420993784</c:v>
                </c:pt>
                <c:pt idx="12">
                  <c:v>0.15348634392726421</c:v>
                </c:pt>
                <c:pt idx="13">
                  <c:v>0.22583680907816314</c:v>
                </c:pt>
                <c:pt idx="14">
                  <c:v>0.17157396021498891</c:v>
                </c:pt>
                <c:pt idx="15">
                  <c:v>4.5473465864828366E-2</c:v>
                </c:pt>
                <c:pt idx="16">
                  <c:v>0.5117204908274513</c:v>
                </c:pt>
                <c:pt idx="17">
                  <c:v>0.13400000000000001</c:v>
                </c:pt>
                <c:pt idx="18">
                  <c:v>0.11695402629122509</c:v>
                </c:pt>
                <c:pt idx="19">
                  <c:v>1.7131496688659265E-2</c:v>
                </c:pt>
                <c:pt idx="20">
                  <c:v>5.3052376842299687E-2</c:v>
                </c:pt>
                <c:pt idx="21">
                  <c:v>0.2944259933492297</c:v>
                </c:pt>
                <c:pt idx="22">
                  <c:v>9.386797033555716E-2</c:v>
                </c:pt>
                <c:pt idx="23">
                  <c:v>0.45776677540198324</c:v>
                </c:pt>
                <c:pt idx="24">
                  <c:v>0.24709902063221237</c:v>
                </c:pt>
                <c:pt idx="25">
                  <c:v>0.12196221268294394</c:v>
                </c:pt>
                <c:pt idx="26">
                  <c:v>0.32661067125262955</c:v>
                </c:pt>
                <c:pt idx="27">
                  <c:v>0.1892841856765986</c:v>
                </c:pt>
                <c:pt idx="28">
                  <c:v>0.19806593115556648</c:v>
                </c:pt>
                <c:pt idx="29">
                  <c:v>0.26769672105832609</c:v>
                </c:pt>
              </c:numCache>
            </c:numRef>
          </c:val>
        </c:ser>
        <c:ser>
          <c:idx val="2"/>
          <c:order val="2"/>
          <c:tx>
            <c:v>Best Management</c:v>
          </c:tx>
          <c:spPr>
            <a:solidFill>
              <a:srgbClr val="339966"/>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RESULTS'!$AI$4:$AI$33</c:f>
              <c:numCache>
                <c:formatCode>0.00</c:formatCode>
                <c:ptCount val="30"/>
                <c:pt idx="0">
                  <c:v>0.22687038715174737</c:v>
                </c:pt>
                <c:pt idx="1">
                  <c:v>0.52033351460052413</c:v>
                </c:pt>
                <c:pt idx="2">
                  <c:v>0.19949904208406455</c:v>
                </c:pt>
                <c:pt idx="3">
                  <c:v>0.29818727422906205</c:v>
                </c:pt>
                <c:pt idx="4">
                  <c:v>0.10648318023480274</c:v>
                </c:pt>
                <c:pt idx="5">
                  <c:v>0.46457509126115398</c:v>
                </c:pt>
                <c:pt idx="6">
                  <c:v>0.11588964056974638</c:v>
                </c:pt>
                <c:pt idx="7">
                  <c:v>0.15140906287424005</c:v>
                </c:pt>
                <c:pt idx="8">
                  <c:v>8.4654128286668184E-2</c:v>
                </c:pt>
                <c:pt idx="9">
                  <c:v>9.5479918277206477E-2</c:v>
                </c:pt>
                <c:pt idx="10">
                  <c:v>0.17794284033812316</c:v>
                </c:pt>
                <c:pt idx="11">
                  <c:v>0.14930197850024463</c:v>
                </c:pt>
                <c:pt idx="12">
                  <c:v>0.15710386718480915</c:v>
                </c:pt>
                <c:pt idx="13">
                  <c:v>0.23255506655646091</c:v>
                </c:pt>
                <c:pt idx="14">
                  <c:v>0.1596878123687698</c:v>
                </c:pt>
                <c:pt idx="15">
                  <c:v>4.4131367045901149E-2</c:v>
                </c:pt>
                <c:pt idx="16">
                  <c:v>0.50871037029317234</c:v>
                </c:pt>
                <c:pt idx="17">
                  <c:v>0.126</c:v>
                </c:pt>
                <c:pt idx="18">
                  <c:v>0.11659908235710903</c:v>
                </c:pt>
                <c:pt idx="19">
                  <c:v>1.618413281647535E-2</c:v>
                </c:pt>
                <c:pt idx="20">
                  <c:v>5.0091864741725001E-2</c:v>
                </c:pt>
                <c:pt idx="21">
                  <c:v>0.29176391384335965</c:v>
                </c:pt>
                <c:pt idx="22">
                  <c:v>9.1933769096514961E-2</c:v>
                </c:pt>
                <c:pt idx="23">
                  <c:v>0.44271907863271376</c:v>
                </c:pt>
                <c:pt idx="24">
                  <c:v>0.23759521214635804</c:v>
                </c:pt>
                <c:pt idx="25">
                  <c:v>0.10077386217446639</c:v>
                </c:pt>
                <c:pt idx="26">
                  <c:v>0.31110700014886544</c:v>
                </c:pt>
                <c:pt idx="27">
                  <c:v>0.1615647442595235</c:v>
                </c:pt>
                <c:pt idx="28">
                  <c:v>0.19023961776644077</c:v>
                </c:pt>
                <c:pt idx="29">
                  <c:v>0.25632736224889913</c:v>
                </c:pt>
              </c:numCache>
            </c:numRef>
          </c:val>
        </c:ser>
        <c:dLbls>
          <c:showLegendKey val="0"/>
          <c:showVal val="0"/>
          <c:showCatName val="0"/>
          <c:showSerName val="0"/>
          <c:showPercent val="0"/>
          <c:showBubbleSize val="0"/>
        </c:dLbls>
        <c:gapWidth val="150"/>
        <c:axId val="854085632"/>
        <c:axId val="850891840"/>
      </c:barChart>
      <c:catAx>
        <c:axId val="854085632"/>
        <c:scaling>
          <c:orientation val="minMax"/>
        </c:scaling>
        <c:delete val="0"/>
        <c:axPos val="b"/>
        <c:majorTickMark val="out"/>
        <c:minorTickMark val="none"/>
        <c:tickLblPos val="nextTo"/>
        <c:txPr>
          <a:bodyPr/>
          <a:lstStyle/>
          <a:p>
            <a:pPr>
              <a:defRPr sz="1050"/>
            </a:pPr>
            <a:endParaRPr lang="en-US"/>
          </a:p>
        </c:txPr>
        <c:crossAx val="850891840"/>
        <c:crosses val="autoZero"/>
        <c:auto val="1"/>
        <c:lblAlgn val="ctr"/>
        <c:lblOffset val="100"/>
        <c:noMultiLvlLbl val="0"/>
      </c:catAx>
      <c:valAx>
        <c:axId val="850891840"/>
        <c:scaling>
          <c:orientation val="minMax"/>
          <c:max val="1.2"/>
        </c:scaling>
        <c:delete val="0"/>
        <c:axPos val="l"/>
        <c:majorGridlines/>
        <c:numFmt formatCode="0.00" sourceLinked="1"/>
        <c:majorTickMark val="out"/>
        <c:minorTickMark val="none"/>
        <c:tickLblPos val="nextTo"/>
        <c:crossAx val="854085632"/>
        <c:crosses val="autoZero"/>
        <c:crossBetween val="between"/>
      </c:valAx>
    </c:plotArea>
    <c:legend>
      <c:legendPos val="r"/>
      <c:layout>
        <c:manualLayout>
          <c:xMode val="edge"/>
          <c:yMode val="edge"/>
          <c:x val="0.33144945462854875"/>
          <c:y val="6.7868744132184952E-2"/>
          <c:w val="0.33573512706583541"/>
          <c:h val="4.543760679287170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Contaminant Removal</a:t>
            </a:r>
            <a:r>
              <a:rPr lang="en-US" baseline="0"/>
              <a:t> Efficiencies of Buffers</a:t>
            </a:r>
            <a:endParaRPr lang="en-US"/>
          </a:p>
        </c:rich>
      </c:tx>
      <c:overlay val="0"/>
    </c:title>
    <c:autoTitleDeleted val="0"/>
    <c:plotArea>
      <c:layout>
        <c:manualLayout>
          <c:layoutTarget val="inner"/>
          <c:xMode val="edge"/>
          <c:yMode val="edge"/>
          <c:x val="5.1371200126149437E-2"/>
          <c:y val="0.20016703786191539"/>
          <c:w val="0.9313984954358705"/>
          <c:h val="0.58350096989726274"/>
        </c:manualLayout>
      </c:layout>
      <c:barChart>
        <c:barDir val="col"/>
        <c:grouping val="clustered"/>
        <c:varyColors val="0"/>
        <c:ser>
          <c:idx val="3"/>
          <c:order val="0"/>
          <c:tx>
            <c:strRef>
              <c:f>'270 Baseline RESULTS'!$W$3</c:f>
              <c:strCache>
                <c:ptCount val="1"/>
                <c:pt idx="0">
                  <c:v>% Phosphorus Reduction from 50' buffer</c:v>
                </c:pt>
              </c:strCache>
            </c:strRef>
          </c:tx>
          <c:spPr>
            <a:solidFill>
              <a:schemeClr val="accent1">
                <a:lumMod val="75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RESULTS'!$W$4:$W$33</c:f>
              <c:numCache>
                <c:formatCode>0.00</c:formatCode>
                <c:ptCount val="30"/>
                <c:pt idx="0">
                  <c:v>51.678903679213533</c:v>
                </c:pt>
                <c:pt idx="1">
                  <c:v>79.198404048786017</c:v>
                </c:pt>
                <c:pt idx="2">
                  <c:v>3.9473494674330158</c:v>
                </c:pt>
                <c:pt idx="3">
                  <c:v>51.678903679213533</c:v>
                </c:pt>
                <c:pt idx="4">
                  <c:v>17.747196705800455</c:v>
                </c:pt>
                <c:pt idx="5">
                  <c:v>96.185319101688194</c:v>
                </c:pt>
                <c:pt idx="6">
                  <c:v>30.101205342791257</c:v>
                </c:pt>
                <c:pt idx="7">
                  <c:v>30.101205342791257</c:v>
                </c:pt>
                <c:pt idx="8">
                  <c:v>17.747196705800455</c:v>
                </c:pt>
                <c:pt idx="9">
                  <c:v>17.747196705800455</c:v>
                </c:pt>
                <c:pt idx="10">
                  <c:v>96.185319101688194</c:v>
                </c:pt>
                <c:pt idx="11">
                  <c:v>30.101205342791257</c:v>
                </c:pt>
                <c:pt idx="12">
                  <c:v>51.678903679213533</c:v>
                </c:pt>
                <c:pt idx="13">
                  <c:v>51.678903679213533</c:v>
                </c:pt>
                <c:pt idx="14">
                  <c:v>51.678903679213533</c:v>
                </c:pt>
                <c:pt idx="15">
                  <c:v>3.9473494674330158</c:v>
                </c:pt>
                <c:pt idx="16">
                  <c:v>30.101205342791257</c:v>
                </c:pt>
                <c:pt idx="17">
                  <c:v>100</c:v>
                </c:pt>
                <c:pt idx="18">
                  <c:v>17.747196705800455</c:v>
                </c:pt>
                <c:pt idx="19">
                  <c:v>3.9473494674330158</c:v>
                </c:pt>
                <c:pt idx="20">
                  <c:v>3.9473494674330158</c:v>
                </c:pt>
                <c:pt idx="21">
                  <c:v>17.747196705800455</c:v>
                </c:pt>
                <c:pt idx="22">
                  <c:v>3.9473494674330158</c:v>
                </c:pt>
                <c:pt idx="23">
                  <c:v>79.198404048786017</c:v>
                </c:pt>
                <c:pt idx="24">
                  <c:v>79.198404048786017</c:v>
                </c:pt>
                <c:pt idx="25">
                  <c:v>51.678903679213533</c:v>
                </c:pt>
                <c:pt idx="26">
                  <c:v>51.678903679213533</c:v>
                </c:pt>
                <c:pt idx="27">
                  <c:v>79.198404048786017</c:v>
                </c:pt>
                <c:pt idx="28">
                  <c:v>30.101205342791257</c:v>
                </c:pt>
                <c:pt idx="29">
                  <c:v>51.678903679213533</c:v>
                </c:pt>
              </c:numCache>
            </c:numRef>
          </c:val>
        </c:ser>
        <c:ser>
          <c:idx val="1"/>
          <c:order val="1"/>
          <c:tx>
            <c:strRef>
              <c:f>'270 Baseline RESULTS'!$O$3</c:f>
              <c:strCache>
                <c:ptCount val="1"/>
                <c:pt idx="0">
                  <c:v>% Phosphorus Reduction from 16.5' buffer</c:v>
                </c:pt>
              </c:strCache>
            </c:strRef>
          </c:tx>
          <c:spPr>
            <a:solidFill>
              <a:schemeClr val="accent3">
                <a:lumMod val="75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RESULTS'!$O$4:$O$33</c:f>
              <c:numCache>
                <c:formatCode>0.00</c:formatCode>
                <c:ptCount val="30"/>
                <c:pt idx="0">
                  <c:v>21.650305961250073</c:v>
                </c:pt>
                <c:pt idx="1">
                  <c:v>41.439934288216072</c:v>
                </c:pt>
                <c:pt idx="2">
                  <c:v>1.3861322315256637</c:v>
                </c:pt>
                <c:pt idx="3">
                  <c:v>21.650305961250073</c:v>
                </c:pt>
                <c:pt idx="4">
                  <c:v>6.9674998116689739</c:v>
                </c:pt>
                <c:pt idx="5">
                  <c:v>76.941562989445956</c:v>
                </c:pt>
                <c:pt idx="6">
                  <c:v>11.226806599727302</c:v>
                </c:pt>
                <c:pt idx="7">
                  <c:v>11.226806599727302</c:v>
                </c:pt>
                <c:pt idx="8">
                  <c:v>6.9674998116689739</c:v>
                </c:pt>
                <c:pt idx="9">
                  <c:v>6.9674998116689739</c:v>
                </c:pt>
                <c:pt idx="10">
                  <c:v>76.941562989445956</c:v>
                </c:pt>
                <c:pt idx="11">
                  <c:v>11.226806599727302</c:v>
                </c:pt>
                <c:pt idx="12">
                  <c:v>21.650305961250073</c:v>
                </c:pt>
                <c:pt idx="13">
                  <c:v>21.650305961250073</c:v>
                </c:pt>
                <c:pt idx="14">
                  <c:v>21.650305961250073</c:v>
                </c:pt>
                <c:pt idx="15">
                  <c:v>1.3861322315256637</c:v>
                </c:pt>
                <c:pt idx="16">
                  <c:v>11.226806599727302</c:v>
                </c:pt>
                <c:pt idx="17">
                  <c:v>100</c:v>
                </c:pt>
                <c:pt idx="18">
                  <c:v>6.9674998116689739</c:v>
                </c:pt>
                <c:pt idx="19">
                  <c:v>1.3861322315256637</c:v>
                </c:pt>
                <c:pt idx="20">
                  <c:v>1.3861322315256637</c:v>
                </c:pt>
                <c:pt idx="21">
                  <c:v>6.9674998116689739</c:v>
                </c:pt>
                <c:pt idx="22">
                  <c:v>1.3861322315256637</c:v>
                </c:pt>
                <c:pt idx="23">
                  <c:v>41.439934288216072</c:v>
                </c:pt>
                <c:pt idx="24">
                  <c:v>41.439934288216072</c:v>
                </c:pt>
                <c:pt idx="25">
                  <c:v>21.650305961250073</c:v>
                </c:pt>
                <c:pt idx="26">
                  <c:v>21.650305961250073</c:v>
                </c:pt>
                <c:pt idx="27">
                  <c:v>41.439934288216072</c:v>
                </c:pt>
                <c:pt idx="28">
                  <c:v>11.226806599727302</c:v>
                </c:pt>
                <c:pt idx="29">
                  <c:v>21.650305961250073</c:v>
                </c:pt>
              </c:numCache>
            </c:numRef>
          </c:val>
        </c:ser>
        <c:dLbls>
          <c:showLegendKey val="0"/>
          <c:showVal val="0"/>
          <c:showCatName val="0"/>
          <c:showSerName val="0"/>
          <c:showPercent val="0"/>
          <c:showBubbleSize val="0"/>
        </c:dLbls>
        <c:gapWidth val="150"/>
        <c:axId val="801269248"/>
        <c:axId val="849215488"/>
      </c:barChart>
      <c:catAx>
        <c:axId val="801269248"/>
        <c:scaling>
          <c:orientation val="minMax"/>
        </c:scaling>
        <c:delete val="0"/>
        <c:axPos val="b"/>
        <c:majorTickMark val="out"/>
        <c:minorTickMark val="none"/>
        <c:tickLblPos val="nextTo"/>
        <c:crossAx val="849215488"/>
        <c:crosses val="autoZero"/>
        <c:auto val="1"/>
        <c:lblAlgn val="ctr"/>
        <c:lblOffset val="100"/>
        <c:noMultiLvlLbl val="0"/>
      </c:catAx>
      <c:valAx>
        <c:axId val="849215488"/>
        <c:scaling>
          <c:orientation val="minMax"/>
          <c:max val="100"/>
        </c:scaling>
        <c:delete val="0"/>
        <c:axPos val="l"/>
        <c:majorGridlines/>
        <c:numFmt formatCode="0" sourceLinked="0"/>
        <c:majorTickMark val="out"/>
        <c:minorTickMark val="none"/>
        <c:tickLblPos val="nextTo"/>
        <c:crossAx val="801269248"/>
        <c:crosses val="autoZero"/>
        <c:crossBetween val="between"/>
      </c:valAx>
    </c:plotArea>
    <c:legend>
      <c:legendPos val="r"/>
      <c:layout>
        <c:manualLayout>
          <c:xMode val="edge"/>
          <c:yMode val="edge"/>
          <c:x val="0.37017213652904291"/>
          <c:y val="6.7164003824324248E-2"/>
          <c:w val="0.22838193671937704"/>
          <c:h val="0.11112535714877837"/>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Phosphorus Export</a:t>
            </a:r>
            <a:r>
              <a:rPr lang="en-US" baseline="0"/>
              <a:t> per Agroecoregion (lbs P/ac/yr)</a:t>
            </a:r>
          </a:p>
          <a:p>
            <a:pPr>
              <a:defRPr/>
            </a:pPr>
            <a:r>
              <a:rPr lang="en-US" baseline="0"/>
              <a:t>Average Management Considerations</a:t>
            </a:r>
            <a:endParaRPr lang="en-US"/>
          </a:p>
        </c:rich>
      </c:tx>
      <c:overlay val="0"/>
    </c:title>
    <c:autoTitleDeleted val="0"/>
    <c:plotArea>
      <c:layout>
        <c:manualLayout>
          <c:layoutTarget val="inner"/>
          <c:xMode val="edge"/>
          <c:yMode val="edge"/>
          <c:x val="3.7986991582572023E-2"/>
          <c:y val="0.23489654211531524"/>
          <c:w val="0.93968813687735919"/>
          <c:h val="0.53670042495018333"/>
        </c:manualLayout>
      </c:layout>
      <c:barChart>
        <c:barDir val="col"/>
        <c:grouping val="clustered"/>
        <c:varyColors val="0"/>
        <c:ser>
          <c:idx val="1"/>
          <c:order val="0"/>
          <c:tx>
            <c:v>No Buffer - Avg Mgmt</c:v>
          </c:tx>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RESULTS'!$E$4:$E$33</c:f>
              <c:numCache>
                <c:formatCode>General</c:formatCode>
                <c:ptCount val="30"/>
                <c:pt idx="0">
                  <c:v>0.45099999999999996</c:v>
                </c:pt>
                <c:pt idx="1">
                  <c:v>0.63100000000000001</c:v>
                </c:pt>
                <c:pt idx="2">
                  <c:v>5.1070000000000002</c:v>
                </c:pt>
                <c:pt idx="3">
                  <c:v>0.58399999999999996</c:v>
                </c:pt>
                <c:pt idx="4">
                  <c:v>0.61599999999999999</c:v>
                </c:pt>
                <c:pt idx="5">
                  <c:v>0.54299999999999993</c:v>
                </c:pt>
                <c:pt idx="6">
                  <c:v>0.39600000000000002</c:v>
                </c:pt>
                <c:pt idx="7">
                  <c:v>0.51400000000000001</c:v>
                </c:pt>
                <c:pt idx="8">
                  <c:v>0.47199999999999998</c:v>
                </c:pt>
                <c:pt idx="9">
                  <c:v>0.54900000000000004</c:v>
                </c:pt>
                <c:pt idx="10">
                  <c:v>0.16999999999999998</c:v>
                </c:pt>
                <c:pt idx="11">
                  <c:v>0.52800000000000002</c:v>
                </c:pt>
                <c:pt idx="12">
                  <c:v>0.29700000000000004</c:v>
                </c:pt>
                <c:pt idx="13">
                  <c:v>0.437</c:v>
                </c:pt>
                <c:pt idx="14">
                  <c:v>0.33199999999999996</c:v>
                </c:pt>
                <c:pt idx="15">
                  <c:v>1.1519999999999999</c:v>
                </c:pt>
                <c:pt idx="16">
                  <c:v>1.7</c:v>
                </c:pt>
                <c:pt idx="17">
                  <c:v>0.13400000000000001</c:v>
                </c:pt>
                <c:pt idx="18">
                  <c:v>0.65900000000000003</c:v>
                </c:pt>
                <c:pt idx="19">
                  <c:v>0.434</c:v>
                </c:pt>
                <c:pt idx="20">
                  <c:v>1.3439999999999999</c:v>
                </c:pt>
                <c:pt idx="21">
                  <c:v>1.659</c:v>
                </c:pt>
                <c:pt idx="22">
                  <c:v>2.3780000000000001</c:v>
                </c:pt>
                <c:pt idx="23">
                  <c:v>0.57800000000000007</c:v>
                </c:pt>
                <c:pt idx="24">
                  <c:v>0.312</c:v>
                </c:pt>
                <c:pt idx="25">
                  <c:v>0.23599999999999999</c:v>
                </c:pt>
                <c:pt idx="26">
                  <c:v>0.63200000000000001</c:v>
                </c:pt>
                <c:pt idx="27">
                  <c:v>0.23900000000000002</c:v>
                </c:pt>
                <c:pt idx="28">
                  <c:v>0.65800000000000003</c:v>
                </c:pt>
                <c:pt idx="29">
                  <c:v>0.51800000000000002</c:v>
                </c:pt>
              </c:numCache>
            </c:numRef>
          </c:val>
        </c:ser>
        <c:ser>
          <c:idx val="4"/>
          <c:order val="1"/>
          <c:tx>
            <c:v>16.5' Buffer - Avg Mgmt</c:v>
          </c:tx>
          <c:spPr>
            <a:solidFill>
              <a:schemeClr val="accent3">
                <a:lumMod val="75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RESULTS'!$K$4:$K$33</c:f>
              <c:numCache>
                <c:formatCode>0.00</c:formatCode>
                <c:ptCount val="30"/>
                <c:pt idx="0">
                  <c:v>0.35335712011476217</c:v>
                </c:pt>
                <c:pt idx="1">
                  <c:v>0.36951401464135658</c:v>
                </c:pt>
                <c:pt idx="2">
                  <c:v>5.0362102269359843</c:v>
                </c:pt>
                <c:pt idx="3">
                  <c:v>0.45756221318629953</c:v>
                </c:pt>
                <c:pt idx="4">
                  <c:v>0.57308020116011915</c:v>
                </c:pt>
                <c:pt idx="5">
                  <c:v>0.12520731296730844</c:v>
                </c:pt>
                <c:pt idx="6">
                  <c:v>0.35154184586507992</c:v>
                </c:pt>
                <c:pt idx="7">
                  <c:v>0.45629421407740167</c:v>
                </c:pt>
                <c:pt idx="8">
                  <c:v>0.43911340088892242</c:v>
                </c:pt>
                <c:pt idx="9">
                  <c:v>0.51074842603393733</c:v>
                </c:pt>
                <c:pt idx="10">
                  <c:v>3.9199342917941873E-2</c:v>
                </c:pt>
                <c:pt idx="11">
                  <c:v>0.46872246115343985</c:v>
                </c:pt>
                <c:pt idx="12">
                  <c:v>0.23269859129508733</c:v>
                </c:pt>
                <c:pt idx="13">
                  <c:v>0.34238816294933716</c:v>
                </c:pt>
                <c:pt idx="14">
                  <c:v>0.26012098420864971</c:v>
                </c:pt>
                <c:pt idx="15">
                  <c:v>1.1360317566928244</c:v>
                </c:pt>
                <c:pt idx="16">
                  <c:v>1.5091442878046359</c:v>
                </c:pt>
                <c:pt idx="17">
                  <c:v>0</c:v>
                </c:pt>
                <c:pt idx="18">
                  <c:v>0.61308417624110145</c:v>
                </c:pt>
                <c:pt idx="19">
                  <c:v>0.42798418611517863</c:v>
                </c:pt>
                <c:pt idx="20">
                  <c:v>1.325370382808295</c:v>
                </c:pt>
                <c:pt idx="21">
                  <c:v>1.5434091781244117</c:v>
                </c:pt>
                <c:pt idx="22">
                  <c:v>2.3450377755343199</c:v>
                </c:pt>
                <c:pt idx="23">
                  <c:v>0.33847717981411113</c:v>
                </c:pt>
                <c:pt idx="24">
                  <c:v>0.18270740502076585</c:v>
                </c:pt>
                <c:pt idx="25">
                  <c:v>0.18490527793144981</c:v>
                </c:pt>
                <c:pt idx="26">
                  <c:v>0.49517006632489957</c:v>
                </c:pt>
                <c:pt idx="27">
                  <c:v>0.13995855705116358</c:v>
                </c:pt>
                <c:pt idx="28">
                  <c:v>0.58412761257379442</c:v>
                </c:pt>
                <c:pt idx="29">
                  <c:v>0.40585141512072465</c:v>
                </c:pt>
              </c:numCache>
            </c:numRef>
          </c:val>
        </c:ser>
        <c:ser>
          <c:idx val="7"/>
          <c:order val="2"/>
          <c:tx>
            <c:v>50' Buffer - Avg Mgmt</c:v>
          </c:tx>
          <c:spPr>
            <a:solidFill>
              <a:schemeClr val="tx2">
                <a:lumMod val="60000"/>
                <a:lumOff val="40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RESULTS'!$S$4:$S$33</c:f>
              <c:numCache>
                <c:formatCode>0.00</c:formatCode>
                <c:ptCount val="30"/>
                <c:pt idx="0">
                  <c:v>0.21792814440674693</c:v>
                </c:pt>
                <c:pt idx="1">
                  <c:v>0.13125807045216023</c:v>
                </c:pt>
                <c:pt idx="2">
                  <c:v>4.905408862698196</c:v>
                </c:pt>
                <c:pt idx="3">
                  <c:v>0.28219520251339297</c:v>
                </c:pt>
                <c:pt idx="4">
                  <c:v>0.50667726829226911</c:v>
                </c:pt>
                <c:pt idx="5">
                  <c:v>2.0713717277833107E-2</c:v>
                </c:pt>
                <c:pt idx="6">
                  <c:v>0.2767992268425466</c:v>
                </c:pt>
                <c:pt idx="7">
                  <c:v>0.35927980453805292</c:v>
                </c:pt>
                <c:pt idx="8">
                  <c:v>0.38823323154862183</c:v>
                </c:pt>
                <c:pt idx="9">
                  <c:v>0.45156789008515552</c:v>
                </c:pt>
                <c:pt idx="10">
                  <c:v>6.48495752713007E-3</c:v>
                </c:pt>
                <c:pt idx="11">
                  <c:v>0.36906563579006219</c:v>
                </c:pt>
                <c:pt idx="12">
                  <c:v>0.14351365607273583</c:v>
                </c:pt>
                <c:pt idx="13">
                  <c:v>0.21116319092183686</c:v>
                </c:pt>
                <c:pt idx="14">
                  <c:v>0.16042603978501105</c:v>
                </c:pt>
                <c:pt idx="15">
                  <c:v>1.1065265341351715</c:v>
                </c:pt>
                <c:pt idx="16">
                  <c:v>1.1882795091725487</c:v>
                </c:pt>
                <c:pt idx="17">
                  <c:v>0</c:v>
                </c:pt>
                <c:pt idx="18">
                  <c:v>0.54204597370877494</c:v>
                </c:pt>
                <c:pt idx="19">
                  <c:v>0.41686850331134073</c:v>
                </c:pt>
                <c:pt idx="20">
                  <c:v>1.2909476231577002</c:v>
                </c:pt>
                <c:pt idx="21">
                  <c:v>1.3645740066507703</c:v>
                </c:pt>
                <c:pt idx="22">
                  <c:v>2.284132029664443</c:v>
                </c:pt>
                <c:pt idx="23">
                  <c:v>0.12023322459801683</c:v>
                </c:pt>
                <c:pt idx="24">
                  <c:v>6.4900979367787631E-2</c:v>
                </c:pt>
                <c:pt idx="25">
                  <c:v>0.11403778731705605</c:v>
                </c:pt>
                <c:pt idx="26">
                  <c:v>0.30538932874737046</c:v>
                </c:pt>
                <c:pt idx="27">
                  <c:v>4.9715814323401421E-2</c:v>
                </c:pt>
                <c:pt idx="28">
                  <c:v>0.45993406884443355</c:v>
                </c:pt>
                <c:pt idx="29">
                  <c:v>0.25030327894167392</c:v>
                </c:pt>
              </c:numCache>
            </c:numRef>
          </c:val>
        </c:ser>
        <c:dLbls>
          <c:showLegendKey val="0"/>
          <c:showVal val="0"/>
          <c:showCatName val="0"/>
          <c:showSerName val="0"/>
          <c:showPercent val="0"/>
          <c:showBubbleSize val="0"/>
        </c:dLbls>
        <c:gapWidth val="150"/>
        <c:axId val="801268736"/>
        <c:axId val="849218368"/>
      </c:barChart>
      <c:catAx>
        <c:axId val="801268736"/>
        <c:scaling>
          <c:orientation val="minMax"/>
        </c:scaling>
        <c:delete val="0"/>
        <c:axPos val="b"/>
        <c:majorTickMark val="out"/>
        <c:minorTickMark val="none"/>
        <c:tickLblPos val="nextTo"/>
        <c:crossAx val="849218368"/>
        <c:crosses val="autoZero"/>
        <c:auto val="1"/>
        <c:lblAlgn val="ctr"/>
        <c:lblOffset val="100"/>
        <c:noMultiLvlLbl val="0"/>
      </c:catAx>
      <c:valAx>
        <c:axId val="849218368"/>
        <c:scaling>
          <c:orientation val="minMax"/>
        </c:scaling>
        <c:delete val="0"/>
        <c:axPos val="l"/>
        <c:majorGridlines/>
        <c:numFmt formatCode="General" sourceLinked="1"/>
        <c:majorTickMark val="out"/>
        <c:minorTickMark val="none"/>
        <c:tickLblPos val="nextTo"/>
        <c:crossAx val="801268736"/>
        <c:crosses val="autoZero"/>
        <c:crossBetween val="between"/>
      </c:valAx>
    </c:plotArea>
    <c:legend>
      <c:legendPos val="r"/>
      <c:layout>
        <c:manualLayout>
          <c:xMode val="edge"/>
          <c:yMode val="edge"/>
          <c:x val="0.36244382367815708"/>
          <c:y val="0.10250879938640532"/>
          <c:w val="0.26206382489936664"/>
          <c:h val="0.1256954498395314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Sediment Export</a:t>
            </a:r>
            <a:r>
              <a:rPr lang="en-US" baseline="0"/>
              <a:t> per Agroecoregion (t/ac/yr)</a:t>
            </a:r>
          </a:p>
          <a:p>
            <a:pPr>
              <a:defRPr/>
            </a:pPr>
            <a:r>
              <a:rPr lang="en-US" baseline="0"/>
              <a:t>Average Management Considerations</a:t>
            </a:r>
            <a:endParaRPr lang="en-US"/>
          </a:p>
        </c:rich>
      </c:tx>
      <c:overlay val="0"/>
    </c:title>
    <c:autoTitleDeleted val="0"/>
    <c:plotArea>
      <c:layout>
        <c:manualLayout>
          <c:layoutTarget val="inner"/>
          <c:xMode val="edge"/>
          <c:yMode val="edge"/>
          <c:x val="3.7986991582572023E-2"/>
          <c:y val="0.25591988506135604"/>
          <c:w val="0.93907478867736183"/>
          <c:h val="0.51567708200414264"/>
        </c:manualLayout>
      </c:layout>
      <c:barChart>
        <c:barDir val="col"/>
        <c:grouping val="clustered"/>
        <c:varyColors val="0"/>
        <c:ser>
          <c:idx val="1"/>
          <c:order val="0"/>
          <c:tx>
            <c:v>No Buffer - Avg Mgmt</c:v>
          </c:tx>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RESULTS'!$D$4:$D$33</c:f>
              <c:numCache>
                <c:formatCode>General</c:formatCode>
                <c:ptCount val="30"/>
                <c:pt idx="0">
                  <c:v>2.08</c:v>
                </c:pt>
                <c:pt idx="1">
                  <c:v>4.1399999999999997</c:v>
                </c:pt>
                <c:pt idx="2">
                  <c:v>68.47</c:v>
                </c:pt>
                <c:pt idx="3">
                  <c:v>4.05</c:v>
                </c:pt>
                <c:pt idx="4">
                  <c:v>7.03</c:v>
                </c:pt>
                <c:pt idx="5">
                  <c:v>2.4300000000000002</c:v>
                </c:pt>
                <c:pt idx="6">
                  <c:v>4.21</c:v>
                </c:pt>
                <c:pt idx="7">
                  <c:v>5.01</c:v>
                </c:pt>
                <c:pt idx="8">
                  <c:v>4.3899999999999997</c:v>
                </c:pt>
                <c:pt idx="9">
                  <c:v>6.16</c:v>
                </c:pt>
                <c:pt idx="10">
                  <c:v>1.23</c:v>
                </c:pt>
                <c:pt idx="11">
                  <c:v>5.24</c:v>
                </c:pt>
                <c:pt idx="12">
                  <c:v>2.08</c:v>
                </c:pt>
                <c:pt idx="13">
                  <c:v>5.0199999999999996</c:v>
                </c:pt>
                <c:pt idx="14">
                  <c:v>2.84</c:v>
                </c:pt>
                <c:pt idx="15">
                  <c:v>14.37</c:v>
                </c:pt>
                <c:pt idx="16">
                  <c:v>16.21</c:v>
                </c:pt>
                <c:pt idx="17">
                  <c:v>0.3</c:v>
                </c:pt>
                <c:pt idx="18">
                  <c:v>5.62</c:v>
                </c:pt>
                <c:pt idx="19">
                  <c:v>4.18</c:v>
                </c:pt>
                <c:pt idx="20">
                  <c:v>15.14</c:v>
                </c:pt>
                <c:pt idx="21">
                  <c:v>14.88</c:v>
                </c:pt>
                <c:pt idx="22">
                  <c:v>31.13</c:v>
                </c:pt>
                <c:pt idx="23">
                  <c:v>5.65</c:v>
                </c:pt>
                <c:pt idx="24">
                  <c:v>3.2</c:v>
                </c:pt>
                <c:pt idx="25">
                  <c:v>1.36</c:v>
                </c:pt>
                <c:pt idx="26">
                  <c:v>6.48</c:v>
                </c:pt>
                <c:pt idx="27">
                  <c:v>1.18</c:v>
                </c:pt>
                <c:pt idx="28">
                  <c:v>6.38</c:v>
                </c:pt>
                <c:pt idx="29">
                  <c:v>4.58</c:v>
                </c:pt>
              </c:numCache>
            </c:numRef>
          </c:val>
        </c:ser>
        <c:ser>
          <c:idx val="4"/>
          <c:order val="1"/>
          <c:tx>
            <c:v>16.5' Buffer - Avg Mgmt</c:v>
          </c:tx>
          <c:spPr>
            <a:solidFill>
              <a:schemeClr val="accent3">
                <a:lumMod val="75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RESULTS'!$J$4:$J$33</c:f>
              <c:numCache>
                <c:formatCode>0.00</c:formatCode>
                <c:ptCount val="30"/>
                <c:pt idx="0">
                  <c:v>1.2180493668051058</c:v>
                </c:pt>
                <c:pt idx="1">
                  <c:v>0.95461929223693742</c:v>
                </c:pt>
                <c:pt idx="2">
                  <c:v>67.520915261074379</c:v>
                </c:pt>
                <c:pt idx="3">
                  <c:v>2.3716826613272488</c:v>
                </c:pt>
                <c:pt idx="4">
                  <c:v>6.2407554960391707</c:v>
                </c:pt>
                <c:pt idx="5">
                  <c:v>0</c:v>
                </c:pt>
                <c:pt idx="6">
                  <c:v>3.298522119031372</c:v>
                </c:pt>
                <c:pt idx="7">
                  <c:v>3.9253196713413714</c:v>
                </c:pt>
                <c:pt idx="8">
                  <c:v>3.8971431902719713</c:v>
                </c:pt>
                <c:pt idx="9">
                  <c:v>5.4684287134567979</c:v>
                </c:pt>
                <c:pt idx="10">
                  <c:v>0</c:v>
                </c:pt>
                <c:pt idx="11">
                  <c:v>4.1055239676304964</c:v>
                </c:pt>
                <c:pt idx="12">
                  <c:v>1.2180493668051058</c:v>
                </c:pt>
                <c:pt idx="13">
                  <c:v>2.9397152987315529</c:v>
                </c:pt>
                <c:pt idx="14">
                  <c:v>1.6631058662146634</c:v>
                </c:pt>
                <c:pt idx="15">
                  <c:v>14.170812798329761</c:v>
                </c:pt>
                <c:pt idx="16">
                  <c:v>12.700485403681364</c:v>
                </c:pt>
                <c:pt idx="17">
                  <c:v>0</c:v>
                </c:pt>
                <c:pt idx="18">
                  <c:v>4.9890534690953254</c:v>
                </c:pt>
                <c:pt idx="19">
                  <c:v>4.1220596727222274</c:v>
                </c:pt>
                <c:pt idx="20">
                  <c:v>14.930139580147015</c:v>
                </c:pt>
                <c:pt idx="21">
                  <c:v>13.209451177960577</c:v>
                </c:pt>
                <c:pt idx="22">
                  <c:v>30.69849703632606</c:v>
                </c:pt>
                <c:pt idx="23">
                  <c:v>1.3028016910963036</c:v>
                </c:pt>
                <c:pt idx="24">
                  <c:v>0.73786998433772943</c:v>
                </c:pt>
                <c:pt idx="25">
                  <c:v>0.79641689368026147</c:v>
                </c:pt>
                <c:pt idx="26">
                  <c:v>3.7946922581235989</c:v>
                </c:pt>
                <c:pt idx="27">
                  <c:v>0.27208955672453772</c:v>
                </c:pt>
                <c:pt idx="28">
                  <c:v>4.998710479672245</c:v>
                </c:pt>
                <c:pt idx="29">
                  <c:v>2.6820510095997037</c:v>
                </c:pt>
              </c:numCache>
            </c:numRef>
          </c:val>
        </c:ser>
        <c:ser>
          <c:idx val="7"/>
          <c:order val="2"/>
          <c:tx>
            <c:v>50' Buffer - Avg Mgmt</c:v>
          </c:tx>
          <c:spPr>
            <a:solidFill>
              <a:schemeClr val="tx2">
                <a:lumMod val="60000"/>
                <a:lumOff val="40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RESULTS'!$R$4:$R$33</c:f>
              <c:numCache>
                <c:formatCode>0.00</c:formatCode>
                <c:ptCount val="30"/>
                <c:pt idx="0">
                  <c:v>0.43267319578525087</c:v>
                </c:pt>
                <c:pt idx="1">
                  <c:v>0.15792778919010877</c:v>
                </c:pt>
                <c:pt idx="2">
                  <c:v>65.767249819648612</c:v>
                </c:pt>
                <c:pt idx="3">
                  <c:v>0.84246463602416632</c:v>
                </c:pt>
                <c:pt idx="4">
                  <c:v>4.9138852644017748</c:v>
                </c:pt>
                <c:pt idx="5">
                  <c:v>0</c:v>
                </c:pt>
                <c:pt idx="6">
                  <c:v>2.0343181551051104</c:v>
                </c:pt>
                <c:pt idx="7">
                  <c:v>2.4208869256714021</c:v>
                </c:pt>
                <c:pt idx="8">
                  <c:v>3.0685570854514634</c:v>
                </c:pt>
                <c:pt idx="9">
                  <c:v>4.3057657508840581</c:v>
                </c:pt>
                <c:pt idx="10">
                  <c:v>0</c:v>
                </c:pt>
                <c:pt idx="11">
                  <c:v>2.532025447209211</c:v>
                </c:pt>
                <c:pt idx="12">
                  <c:v>0.43267319578525087</c:v>
                </c:pt>
                <c:pt idx="13">
                  <c:v>1.0442401167509419</c:v>
                </c:pt>
                <c:pt idx="14">
                  <c:v>0.59076532501447709</c:v>
                </c:pt>
                <c:pt idx="15">
                  <c:v>13.802765881529876</c:v>
                </c:pt>
                <c:pt idx="16">
                  <c:v>7.8328497135994866</c:v>
                </c:pt>
                <c:pt idx="17">
                  <c:v>0</c:v>
                </c:pt>
                <c:pt idx="18">
                  <c:v>3.9283122597351312</c:v>
                </c:pt>
                <c:pt idx="19">
                  <c:v>4.0150007922612998</c:v>
                </c:pt>
                <c:pt idx="20">
                  <c:v>14.542371290630642</c:v>
                </c:pt>
                <c:pt idx="21">
                  <c:v>10.40094064499266</c:v>
                </c:pt>
                <c:pt idx="22">
                  <c:v>29.9011901107881</c:v>
                </c:pt>
                <c:pt idx="23">
                  <c:v>0.21552947075461706</c:v>
                </c:pt>
                <c:pt idx="24">
                  <c:v>0.12206978874597781</c:v>
                </c:pt>
                <c:pt idx="25">
                  <c:v>0.28290170493651018</c:v>
                </c:pt>
                <c:pt idx="26">
                  <c:v>1.3479434176386662</c:v>
                </c:pt>
                <c:pt idx="27">
                  <c:v>4.5013234600079312E-2</c:v>
                </c:pt>
                <c:pt idx="28">
                  <c:v>3.0828859452661765</c:v>
                </c:pt>
                <c:pt idx="29">
                  <c:v>0.95271309456560049</c:v>
                </c:pt>
              </c:numCache>
            </c:numRef>
          </c:val>
        </c:ser>
        <c:dLbls>
          <c:showLegendKey val="0"/>
          <c:showVal val="0"/>
          <c:showCatName val="0"/>
          <c:showSerName val="0"/>
          <c:showPercent val="0"/>
          <c:showBubbleSize val="0"/>
        </c:dLbls>
        <c:gapWidth val="150"/>
        <c:axId val="801264128"/>
        <c:axId val="849220672"/>
      </c:barChart>
      <c:catAx>
        <c:axId val="801264128"/>
        <c:scaling>
          <c:orientation val="minMax"/>
        </c:scaling>
        <c:delete val="0"/>
        <c:axPos val="b"/>
        <c:majorTickMark val="out"/>
        <c:minorTickMark val="none"/>
        <c:tickLblPos val="nextTo"/>
        <c:crossAx val="849220672"/>
        <c:crosses val="autoZero"/>
        <c:auto val="1"/>
        <c:lblAlgn val="ctr"/>
        <c:lblOffset val="100"/>
        <c:noMultiLvlLbl val="0"/>
      </c:catAx>
      <c:valAx>
        <c:axId val="849220672"/>
        <c:scaling>
          <c:orientation val="minMax"/>
        </c:scaling>
        <c:delete val="0"/>
        <c:axPos val="l"/>
        <c:majorGridlines/>
        <c:numFmt formatCode="General" sourceLinked="1"/>
        <c:majorTickMark val="out"/>
        <c:minorTickMark val="none"/>
        <c:tickLblPos val="nextTo"/>
        <c:crossAx val="801264128"/>
        <c:crosses val="autoZero"/>
        <c:crossBetween val="between"/>
      </c:valAx>
    </c:plotArea>
    <c:legend>
      <c:legendPos val="r"/>
      <c:layout>
        <c:manualLayout>
          <c:xMode val="edge"/>
          <c:yMode val="edge"/>
          <c:x val="0.36513828828594486"/>
          <c:y val="0.10250879938640532"/>
          <c:w val="0.26554126004177847"/>
          <c:h val="0.14321490229456543"/>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Contaminant Removal</a:t>
            </a:r>
            <a:r>
              <a:rPr lang="en-US" baseline="0"/>
              <a:t> Efficiencies of Buffers</a:t>
            </a:r>
            <a:endParaRPr lang="en-US"/>
          </a:p>
        </c:rich>
      </c:tx>
      <c:overlay val="0"/>
    </c:title>
    <c:autoTitleDeleted val="0"/>
    <c:plotArea>
      <c:layout>
        <c:manualLayout>
          <c:layoutTarget val="inner"/>
          <c:xMode val="edge"/>
          <c:yMode val="edge"/>
          <c:x val="5.1371200126149437E-2"/>
          <c:y val="0.20016703786191539"/>
          <c:w val="0.9313984954358705"/>
          <c:h val="0.58350096989726274"/>
        </c:manualLayout>
      </c:layout>
      <c:barChart>
        <c:barDir val="col"/>
        <c:grouping val="clustered"/>
        <c:varyColors val="0"/>
        <c:ser>
          <c:idx val="2"/>
          <c:order val="0"/>
          <c:tx>
            <c:strRef>
              <c:f>'270 Baseline RESULTS'!$V$3</c:f>
              <c:strCache>
                <c:ptCount val="1"/>
                <c:pt idx="0">
                  <c:v>% Sediment Reduction from 50 ' buffer</c:v>
                </c:pt>
              </c:strCache>
            </c:strRef>
          </c:tx>
          <c:spPr>
            <a:solidFill>
              <a:schemeClr val="accent1">
                <a:lumMod val="75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RESULTS'!$V$4:$V$33</c:f>
              <c:numCache>
                <c:formatCode>0.00</c:formatCode>
                <c:ptCount val="30"/>
                <c:pt idx="0">
                  <c:v>79.198404048786017</c:v>
                </c:pt>
                <c:pt idx="1">
                  <c:v>96.185319101688194</c:v>
                </c:pt>
                <c:pt idx="2">
                  <c:v>3.9473494674330158</c:v>
                </c:pt>
                <c:pt idx="3">
                  <c:v>79.198404048786017</c:v>
                </c:pt>
                <c:pt idx="4">
                  <c:v>30.101205342791257</c:v>
                </c:pt>
                <c:pt idx="5">
                  <c:v>100</c:v>
                </c:pt>
                <c:pt idx="6">
                  <c:v>51.678903679213533</c:v>
                </c:pt>
                <c:pt idx="7">
                  <c:v>51.678903679213533</c:v>
                </c:pt>
                <c:pt idx="8">
                  <c:v>30.101205342791257</c:v>
                </c:pt>
                <c:pt idx="9">
                  <c:v>30.101205342791257</c:v>
                </c:pt>
                <c:pt idx="10">
                  <c:v>100</c:v>
                </c:pt>
                <c:pt idx="11">
                  <c:v>51.678903679213533</c:v>
                </c:pt>
                <c:pt idx="12">
                  <c:v>79.198404048786017</c:v>
                </c:pt>
                <c:pt idx="13">
                  <c:v>79.198404048786017</c:v>
                </c:pt>
                <c:pt idx="14">
                  <c:v>79.198404048786017</c:v>
                </c:pt>
                <c:pt idx="15">
                  <c:v>3.9473494674330158</c:v>
                </c:pt>
                <c:pt idx="16">
                  <c:v>51.678903679213533</c:v>
                </c:pt>
                <c:pt idx="17">
                  <c:v>100</c:v>
                </c:pt>
                <c:pt idx="18">
                  <c:v>30.101205342791257</c:v>
                </c:pt>
                <c:pt idx="19">
                  <c:v>3.9473494674330158</c:v>
                </c:pt>
                <c:pt idx="20">
                  <c:v>3.9473494674330158</c:v>
                </c:pt>
                <c:pt idx="21">
                  <c:v>30.101205342791257</c:v>
                </c:pt>
                <c:pt idx="22">
                  <c:v>3.9473494674330158</c:v>
                </c:pt>
                <c:pt idx="23">
                  <c:v>96.185319101688194</c:v>
                </c:pt>
                <c:pt idx="24">
                  <c:v>96.185319101688194</c:v>
                </c:pt>
                <c:pt idx="25">
                  <c:v>79.198404048786017</c:v>
                </c:pt>
                <c:pt idx="26">
                  <c:v>79.198404048786017</c:v>
                </c:pt>
                <c:pt idx="27">
                  <c:v>96.185319101688194</c:v>
                </c:pt>
                <c:pt idx="28">
                  <c:v>51.678903679213533</c:v>
                </c:pt>
                <c:pt idx="29">
                  <c:v>79.198404048786017</c:v>
                </c:pt>
              </c:numCache>
            </c:numRef>
          </c:val>
        </c:ser>
        <c:ser>
          <c:idx val="0"/>
          <c:order val="1"/>
          <c:tx>
            <c:strRef>
              <c:f>'270 Baseline RESULTS'!$N$3</c:f>
              <c:strCache>
                <c:ptCount val="1"/>
                <c:pt idx="0">
                  <c:v>% Sediment Reduction from 16.5 ' buffer</c:v>
                </c:pt>
              </c:strCache>
            </c:strRef>
          </c:tx>
          <c:spPr>
            <a:solidFill>
              <a:schemeClr val="accent3">
                <a:lumMod val="75000"/>
              </a:schemeClr>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RESULTS'!$N$4:$N$33</c:f>
              <c:numCache>
                <c:formatCode>0.00</c:formatCode>
                <c:ptCount val="30"/>
                <c:pt idx="0">
                  <c:v>41.439934288216072</c:v>
                </c:pt>
                <c:pt idx="1">
                  <c:v>76.941562989445956</c:v>
                </c:pt>
                <c:pt idx="2">
                  <c:v>1.3861322315256637</c:v>
                </c:pt>
                <c:pt idx="3">
                  <c:v>41.439934288216072</c:v>
                </c:pt>
                <c:pt idx="4">
                  <c:v>11.226806599727302</c:v>
                </c:pt>
                <c:pt idx="5">
                  <c:v>100</c:v>
                </c:pt>
                <c:pt idx="6">
                  <c:v>21.650305961250073</c:v>
                </c:pt>
                <c:pt idx="7">
                  <c:v>21.650305961250073</c:v>
                </c:pt>
                <c:pt idx="8">
                  <c:v>11.226806599727302</c:v>
                </c:pt>
                <c:pt idx="9">
                  <c:v>11.226806599727302</c:v>
                </c:pt>
                <c:pt idx="10">
                  <c:v>100</c:v>
                </c:pt>
                <c:pt idx="11">
                  <c:v>21.650305961250073</c:v>
                </c:pt>
                <c:pt idx="12">
                  <c:v>41.439934288216072</c:v>
                </c:pt>
                <c:pt idx="13">
                  <c:v>41.439934288216072</c:v>
                </c:pt>
                <c:pt idx="14">
                  <c:v>41.439934288216072</c:v>
                </c:pt>
                <c:pt idx="15">
                  <c:v>1.3861322315256637</c:v>
                </c:pt>
                <c:pt idx="16">
                  <c:v>21.650305961250073</c:v>
                </c:pt>
                <c:pt idx="17">
                  <c:v>100</c:v>
                </c:pt>
                <c:pt idx="18">
                  <c:v>11.226806599727302</c:v>
                </c:pt>
                <c:pt idx="19">
                  <c:v>1.3861322315256637</c:v>
                </c:pt>
                <c:pt idx="20">
                  <c:v>1.3861322315256637</c:v>
                </c:pt>
                <c:pt idx="21">
                  <c:v>11.226806599727302</c:v>
                </c:pt>
                <c:pt idx="22">
                  <c:v>1.3861322315256637</c:v>
                </c:pt>
                <c:pt idx="23">
                  <c:v>76.941562989445956</c:v>
                </c:pt>
                <c:pt idx="24">
                  <c:v>76.941562989445956</c:v>
                </c:pt>
                <c:pt idx="25">
                  <c:v>41.439934288216072</c:v>
                </c:pt>
                <c:pt idx="26">
                  <c:v>41.439934288216072</c:v>
                </c:pt>
                <c:pt idx="27">
                  <c:v>76.941562989445956</c:v>
                </c:pt>
                <c:pt idx="28">
                  <c:v>21.650305961250073</c:v>
                </c:pt>
                <c:pt idx="29">
                  <c:v>41.439934288216072</c:v>
                </c:pt>
              </c:numCache>
            </c:numRef>
          </c:val>
        </c:ser>
        <c:dLbls>
          <c:showLegendKey val="0"/>
          <c:showVal val="0"/>
          <c:showCatName val="0"/>
          <c:showSerName val="0"/>
          <c:showPercent val="0"/>
          <c:showBubbleSize val="0"/>
        </c:dLbls>
        <c:gapWidth val="150"/>
        <c:axId val="853516288"/>
        <c:axId val="849222400"/>
      </c:barChart>
      <c:catAx>
        <c:axId val="853516288"/>
        <c:scaling>
          <c:orientation val="minMax"/>
        </c:scaling>
        <c:delete val="0"/>
        <c:axPos val="b"/>
        <c:majorTickMark val="out"/>
        <c:minorTickMark val="none"/>
        <c:tickLblPos val="nextTo"/>
        <c:crossAx val="849222400"/>
        <c:crosses val="autoZero"/>
        <c:auto val="1"/>
        <c:lblAlgn val="ctr"/>
        <c:lblOffset val="100"/>
        <c:noMultiLvlLbl val="0"/>
      </c:catAx>
      <c:valAx>
        <c:axId val="849222400"/>
        <c:scaling>
          <c:orientation val="minMax"/>
          <c:max val="100"/>
        </c:scaling>
        <c:delete val="0"/>
        <c:axPos val="l"/>
        <c:majorGridlines/>
        <c:numFmt formatCode="0" sourceLinked="0"/>
        <c:majorTickMark val="out"/>
        <c:minorTickMark val="none"/>
        <c:tickLblPos val="nextTo"/>
        <c:crossAx val="853516288"/>
        <c:crosses val="autoZero"/>
        <c:crossBetween val="between"/>
      </c:valAx>
    </c:plotArea>
    <c:legend>
      <c:legendPos val="r"/>
      <c:layout>
        <c:manualLayout>
          <c:xMode val="edge"/>
          <c:yMode val="edge"/>
          <c:x val="0.3808087951270242"/>
          <c:y val="6.7164003824324248E-2"/>
          <c:w val="0.23686473530431337"/>
          <c:h val="0.11112535714877837"/>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Total Phosphorus Export</a:t>
            </a:r>
            <a:r>
              <a:rPr lang="en-US" sz="1400" baseline="0"/>
              <a:t> per Agroecoregion (lbs P/ac/yr)</a:t>
            </a:r>
          </a:p>
        </c:rich>
      </c:tx>
      <c:overlay val="0"/>
    </c:title>
    <c:autoTitleDeleted val="0"/>
    <c:plotArea>
      <c:layout>
        <c:manualLayout>
          <c:layoutTarget val="inner"/>
          <c:xMode val="edge"/>
          <c:yMode val="edge"/>
          <c:x val="3.7986991582572023E-2"/>
          <c:y val="0.25942377555236285"/>
          <c:w val="0.92855855522349673"/>
          <c:h val="0.51217319151313578"/>
        </c:manualLayout>
      </c:layout>
      <c:barChart>
        <c:barDir val="col"/>
        <c:grouping val="clustered"/>
        <c:varyColors val="0"/>
        <c:ser>
          <c:idx val="0"/>
          <c:order val="0"/>
          <c:tx>
            <c:v>Poor Management</c:v>
          </c:tx>
          <c:spPr>
            <a:solidFill>
              <a:srgbClr val="C000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RESULTS'!$C$4:$C$33</c:f>
              <c:numCache>
                <c:formatCode>General</c:formatCode>
                <c:ptCount val="30"/>
                <c:pt idx="0">
                  <c:v>0.84299999999999997</c:v>
                </c:pt>
                <c:pt idx="1">
                  <c:v>0.89800000000000002</c:v>
                </c:pt>
                <c:pt idx="2">
                  <c:v>7.141</c:v>
                </c:pt>
                <c:pt idx="3">
                  <c:v>0.98599999999999999</c:v>
                </c:pt>
                <c:pt idx="4">
                  <c:v>1.0009999999999999</c:v>
                </c:pt>
                <c:pt idx="5">
                  <c:v>1.107</c:v>
                </c:pt>
                <c:pt idx="6">
                  <c:v>0.69400000000000006</c:v>
                </c:pt>
                <c:pt idx="7">
                  <c:v>0.89700000000000002</c:v>
                </c:pt>
                <c:pt idx="8">
                  <c:v>0.84499999999999997</c:v>
                </c:pt>
                <c:pt idx="9">
                  <c:v>0.91700000000000004</c:v>
                </c:pt>
                <c:pt idx="10">
                  <c:v>0.38200000000000001</c:v>
                </c:pt>
                <c:pt idx="11">
                  <c:v>0.98299999999999998</c:v>
                </c:pt>
                <c:pt idx="12">
                  <c:v>0.61599999999999999</c:v>
                </c:pt>
                <c:pt idx="13">
                  <c:v>0.623</c:v>
                </c:pt>
                <c:pt idx="14">
                  <c:v>0.751</c:v>
                </c:pt>
                <c:pt idx="15">
                  <c:v>1.841</c:v>
                </c:pt>
                <c:pt idx="16">
                  <c:v>2.5179999999999998</c:v>
                </c:pt>
                <c:pt idx="17">
                  <c:v>0.39500000000000002</c:v>
                </c:pt>
                <c:pt idx="18">
                  <c:v>1.0779999999999998</c:v>
                </c:pt>
                <c:pt idx="19">
                  <c:v>0.8</c:v>
                </c:pt>
                <c:pt idx="20">
                  <c:v>2.1559999999999997</c:v>
                </c:pt>
                <c:pt idx="21">
                  <c:v>2.431</c:v>
                </c:pt>
                <c:pt idx="22">
                  <c:v>3.4850000000000003</c:v>
                </c:pt>
                <c:pt idx="23">
                  <c:v>1.032</c:v>
                </c:pt>
                <c:pt idx="24">
                  <c:v>0.57800000000000007</c:v>
                </c:pt>
                <c:pt idx="25">
                  <c:v>0.73699999999999999</c:v>
                </c:pt>
                <c:pt idx="26">
                  <c:v>1.119</c:v>
                </c:pt>
                <c:pt idx="27">
                  <c:v>0.68499999999999994</c:v>
                </c:pt>
                <c:pt idx="28">
                  <c:v>1.115</c:v>
                </c:pt>
                <c:pt idx="29">
                  <c:v>0.95099999999999996</c:v>
                </c:pt>
              </c:numCache>
            </c:numRef>
          </c:val>
        </c:ser>
        <c:ser>
          <c:idx val="1"/>
          <c:order val="1"/>
          <c:tx>
            <c:v>Average Management</c:v>
          </c:tx>
          <c:spPr>
            <a:solidFill>
              <a:srgbClr val="FFCC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RESULTS'!$E$4:$E$33</c:f>
              <c:numCache>
                <c:formatCode>General</c:formatCode>
                <c:ptCount val="30"/>
                <c:pt idx="0">
                  <c:v>0.45099999999999996</c:v>
                </c:pt>
                <c:pt idx="1">
                  <c:v>0.63100000000000001</c:v>
                </c:pt>
                <c:pt idx="2">
                  <c:v>5.1070000000000002</c:v>
                </c:pt>
                <c:pt idx="3">
                  <c:v>0.58399999999999996</c:v>
                </c:pt>
                <c:pt idx="4">
                  <c:v>0.61599999999999999</c:v>
                </c:pt>
                <c:pt idx="5">
                  <c:v>0.54299999999999993</c:v>
                </c:pt>
                <c:pt idx="6">
                  <c:v>0.39600000000000002</c:v>
                </c:pt>
                <c:pt idx="7">
                  <c:v>0.51400000000000001</c:v>
                </c:pt>
                <c:pt idx="8">
                  <c:v>0.47199999999999998</c:v>
                </c:pt>
                <c:pt idx="9">
                  <c:v>0.54900000000000004</c:v>
                </c:pt>
                <c:pt idx="10">
                  <c:v>0.16999999999999998</c:v>
                </c:pt>
                <c:pt idx="11">
                  <c:v>0.52800000000000002</c:v>
                </c:pt>
                <c:pt idx="12">
                  <c:v>0.29700000000000004</c:v>
                </c:pt>
                <c:pt idx="13">
                  <c:v>0.437</c:v>
                </c:pt>
                <c:pt idx="14">
                  <c:v>0.33199999999999996</c:v>
                </c:pt>
                <c:pt idx="15">
                  <c:v>1.1519999999999999</c:v>
                </c:pt>
                <c:pt idx="16">
                  <c:v>1.7</c:v>
                </c:pt>
                <c:pt idx="17">
                  <c:v>0.13400000000000001</c:v>
                </c:pt>
                <c:pt idx="18">
                  <c:v>0.65900000000000003</c:v>
                </c:pt>
                <c:pt idx="19">
                  <c:v>0.434</c:v>
                </c:pt>
                <c:pt idx="20">
                  <c:v>1.3439999999999999</c:v>
                </c:pt>
                <c:pt idx="21">
                  <c:v>1.659</c:v>
                </c:pt>
                <c:pt idx="22">
                  <c:v>2.3780000000000001</c:v>
                </c:pt>
                <c:pt idx="23">
                  <c:v>0.57800000000000007</c:v>
                </c:pt>
                <c:pt idx="24">
                  <c:v>0.312</c:v>
                </c:pt>
                <c:pt idx="25">
                  <c:v>0.23599999999999999</c:v>
                </c:pt>
                <c:pt idx="26">
                  <c:v>0.63200000000000001</c:v>
                </c:pt>
                <c:pt idx="27">
                  <c:v>0.23900000000000002</c:v>
                </c:pt>
                <c:pt idx="28">
                  <c:v>0.65800000000000003</c:v>
                </c:pt>
                <c:pt idx="29">
                  <c:v>0.51800000000000002</c:v>
                </c:pt>
              </c:numCache>
            </c:numRef>
          </c:val>
        </c:ser>
        <c:ser>
          <c:idx val="2"/>
          <c:order val="2"/>
          <c:tx>
            <c:v>Best Management</c:v>
          </c:tx>
          <c:spPr>
            <a:solidFill>
              <a:srgbClr val="339966"/>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RESULTS'!$G$4:$G$33</c:f>
              <c:numCache>
                <c:formatCode>General</c:formatCode>
                <c:ptCount val="30"/>
                <c:pt idx="0">
                  <c:v>0.43899999999999995</c:v>
                </c:pt>
                <c:pt idx="1">
                  <c:v>0.65700000000000003</c:v>
                </c:pt>
                <c:pt idx="2">
                  <c:v>5.0540000000000003</c:v>
                </c:pt>
                <c:pt idx="3">
                  <c:v>0.57699999999999996</c:v>
                </c:pt>
                <c:pt idx="4">
                  <c:v>0.6</c:v>
                </c:pt>
                <c:pt idx="5">
                  <c:v>0.48299999999999998</c:v>
                </c:pt>
                <c:pt idx="6">
                  <c:v>0.38500000000000001</c:v>
                </c:pt>
                <c:pt idx="7">
                  <c:v>0.503</c:v>
                </c:pt>
                <c:pt idx="8">
                  <c:v>0.47699999999999998</c:v>
                </c:pt>
                <c:pt idx="9">
                  <c:v>0.53800000000000003</c:v>
                </c:pt>
                <c:pt idx="10">
                  <c:v>0.185</c:v>
                </c:pt>
                <c:pt idx="11">
                  <c:v>0.496</c:v>
                </c:pt>
                <c:pt idx="12">
                  <c:v>0.30399999999999999</c:v>
                </c:pt>
                <c:pt idx="13">
                  <c:v>0.45</c:v>
                </c:pt>
                <c:pt idx="14">
                  <c:v>0.309</c:v>
                </c:pt>
                <c:pt idx="15">
                  <c:v>1.1179999999999999</c:v>
                </c:pt>
                <c:pt idx="16">
                  <c:v>1.69</c:v>
                </c:pt>
                <c:pt idx="17">
                  <c:v>0.126</c:v>
                </c:pt>
                <c:pt idx="18">
                  <c:v>0.65700000000000003</c:v>
                </c:pt>
                <c:pt idx="19">
                  <c:v>0.41</c:v>
                </c:pt>
                <c:pt idx="20">
                  <c:v>1.2689999999999999</c:v>
                </c:pt>
                <c:pt idx="21">
                  <c:v>1.6440000000000001</c:v>
                </c:pt>
                <c:pt idx="22">
                  <c:v>2.3289999999999997</c:v>
                </c:pt>
                <c:pt idx="23">
                  <c:v>0.55899999999999994</c:v>
                </c:pt>
                <c:pt idx="24">
                  <c:v>0.3</c:v>
                </c:pt>
                <c:pt idx="25">
                  <c:v>0.19500000000000001</c:v>
                </c:pt>
                <c:pt idx="26">
                  <c:v>0.60199999999999998</c:v>
                </c:pt>
                <c:pt idx="27">
                  <c:v>0.20400000000000001</c:v>
                </c:pt>
                <c:pt idx="28">
                  <c:v>0.63200000000000001</c:v>
                </c:pt>
                <c:pt idx="29">
                  <c:v>0.496</c:v>
                </c:pt>
              </c:numCache>
            </c:numRef>
          </c:val>
        </c:ser>
        <c:dLbls>
          <c:showLegendKey val="0"/>
          <c:showVal val="0"/>
          <c:showCatName val="0"/>
          <c:showSerName val="0"/>
          <c:showPercent val="0"/>
          <c:showBubbleSize val="0"/>
        </c:dLbls>
        <c:gapWidth val="150"/>
        <c:axId val="853758976"/>
        <c:axId val="849306752"/>
      </c:barChart>
      <c:catAx>
        <c:axId val="853758976"/>
        <c:scaling>
          <c:orientation val="minMax"/>
        </c:scaling>
        <c:delete val="0"/>
        <c:axPos val="b"/>
        <c:majorTickMark val="out"/>
        <c:minorTickMark val="none"/>
        <c:tickLblPos val="nextTo"/>
        <c:crossAx val="849306752"/>
        <c:crosses val="autoZero"/>
        <c:auto val="1"/>
        <c:lblAlgn val="ctr"/>
        <c:lblOffset val="100"/>
        <c:noMultiLvlLbl val="0"/>
      </c:catAx>
      <c:valAx>
        <c:axId val="849306752"/>
        <c:scaling>
          <c:orientation val="minMax"/>
        </c:scaling>
        <c:delete val="0"/>
        <c:axPos val="l"/>
        <c:majorGridlines/>
        <c:numFmt formatCode="General" sourceLinked="1"/>
        <c:majorTickMark val="out"/>
        <c:minorTickMark val="none"/>
        <c:tickLblPos val="nextTo"/>
        <c:crossAx val="853758976"/>
        <c:crosses val="autoZero"/>
        <c:crossBetween val="between"/>
      </c:valAx>
    </c:plotArea>
    <c:legend>
      <c:legendPos val="r"/>
      <c:layout>
        <c:manualLayout>
          <c:xMode val="edge"/>
          <c:yMode val="edge"/>
          <c:x val="0.27946607306126692"/>
          <c:y val="5.6958223003316967E-2"/>
          <c:w val="0.4153430278730128"/>
          <c:h val="0.1239435045940280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Total Sediment Export</a:t>
            </a:r>
            <a:r>
              <a:rPr lang="en-US" sz="1400" baseline="0"/>
              <a:t> per Agroecoregion (t/ac/yr)</a:t>
            </a:r>
          </a:p>
        </c:rich>
      </c:tx>
      <c:overlay val="0"/>
    </c:title>
    <c:autoTitleDeleted val="0"/>
    <c:plotArea>
      <c:layout>
        <c:manualLayout>
          <c:layoutTarget val="inner"/>
          <c:xMode val="edge"/>
          <c:yMode val="edge"/>
          <c:x val="3.7986991582572023E-2"/>
          <c:y val="0.25942377555236285"/>
          <c:w val="0.9385616119915241"/>
          <c:h val="0.51217319151313578"/>
        </c:manualLayout>
      </c:layout>
      <c:barChart>
        <c:barDir val="col"/>
        <c:grouping val="clustered"/>
        <c:varyColors val="0"/>
        <c:ser>
          <c:idx val="0"/>
          <c:order val="0"/>
          <c:tx>
            <c:v>Poor Management</c:v>
          </c:tx>
          <c:spPr>
            <a:solidFill>
              <a:srgbClr val="C000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RESULTS'!$B$4:$B$33</c:f>
              <c:numCache>
                <c:formatCode>0.00</c:formatCode>
                <c:ptCount val="30"/>
                <c:pt idx="0">
                  <c:v>2.3216250557950877</c:v>
                </c:pt>
                <c:pt idx="1">
                  <c:v>4.6168892442124712</c:v>
                </c:pt>
                <c:pt idx="2">
                  <c:v>83.668249224423491</c:v>
                </c:pt>
                <c:pt idx="3">
                  <c:v>4.3049020286303765</c:v>
                </c:pt>
                <c:pt idx="4">
                  <c:v>9.3816830140840519</c:v>
                </c:pt>
                <c:pt idx="5">
                  <c:v>2.5805381408189083</c:v>
                </c:pt>
                <c:pt idx="6">
                  <c:v>5.4453685107067944</c:v>
                </c:pt>
                <c:pt idx="7">
                  <c:v>5.8829573079627666</c:v>
                </c:pt>
                <c:pt idx="8">
                  <c:v>4.585961134098115</c:v>
                </c:pt>
                <c:pt idx="9">
                  <c:v>8.5021079033990983</c:v>
                </c:pt>
                <c:pt idx="10">
                  <c:v>1.2347843910974303</c:v>
                </c:pt>
                <c:pt idx="11">
                  <c:v>6.5577265078627072</c:v>
                </c:pt>
                <c:pt idx="12">
                  <c:v>2.1005395243899505</c:v>
                </c:pt>
                <c:pt idx="13">
                  <c:v>6.6632150657730485</c:v>
                </c:pt>
                <c:pt idx="14">
                  <c:v>3.0037559179361843</c:v>
                </c:pt>
                <c:pt idx="15">
                  <c:v>17.543725422915319</c:v>
                </c:pt>
                <c:pt idx="16">
                  <c:v>19.009705346657594</c:v>
                </c:pt>
                <c:pt idx="17">
                  <c:v>0.30383922534467556</c:v>
                </c:pt>
                <c:pt idx="18">
                  <c:v>6.0007721097641387</c:v>
                </c:pt>
                <c:pt idx="19">
                  <c:v>5.0459163142951384</c:v>
                </c:pt>
                <c:pt idx="20">
                  <c:v>18.404622578946785</c:v>
                </c:pt>
                <c:pt idx="21">
                  <c:v>17.760281745417767</c:v>
                </c:pt>
                <c:pt idx="22">
                  <c:v>38.079705607546721</c:v>
                </c:pt>
                <c:pt idx="23">
                  <c:v>6.5433621818154624</c:v>
                </c:pt>
                <c:pt idx="24">
                  <c:v>3.9927070673270189</c:v>
                </c:pt>
                <c:pt idx="25">
                  <c:v>1.3665379649997009</c:v>
                </c:pt>
                <c:pt idx="26">
                  <c:v>8.1030915438612769</c:v>
                </c:pt>
                <c:pt idx="27">
                  <c:v>1.1921656831162284</c:v>
                </c:pt>
                <c:pt idx="28">
                  <c:v>7.9931399787021871</c:v>
                </c:pt>
                <c:pt idx="29">
                  <c:v>5.4466617098251344</c:v>
                </c:pt>
              </c:numCache>
            </c:numRef>
          </c:val>
        </c:ser>
        <c:ser>
          <c:idx val="1"/>
          <c:order val="1"/>
          <c:tx>
            <c:v>Average Management</c:v>
          </c:tx>
          <c:spPr>
            <a:solidFill>
              <a:srgbClr val="FFCC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RESULTS'!$D$4:$D$33</c:f>
              <c:numCache>
                <c:formatCode>General</c:formatCode>
                <c:ptCount val="30"/>
                <c:pt idx="0">
                  <c:v>2.08</c:v>
                </c:pt>
                <c:pt idx="1">
                  <c:v>4.1399999999999997</c:v>
                </c:pt>
                <c:pt idx="2">
                  <c:v>68.47</c:v>
                </c:pt>
                <c:pt idx="3">
                  <c:v>4.05</c:v>
                </c:pt>
                <c:pt idx="4">
                  <c:v>7.03</c:v>
                </c:pt>
                <c:pt idx="5">
                  <c:v>2.4300000000000002</c:v>
                </c:pt>
                <c:pt idx="6">
                  <c:v>4.21</c:v>
                </c:pt>
                <c:pt idx="7">
                  <c:v>5.01</c:v>
                </c:pt>
                <c:pt idx="8">
                  <c:v>4.3899999999999997</c:v>
                </c:pt>
                <c:pt idx="9">
                  <c:v>6.16</c:v>
                </c:pt>
                <c:pt idx="10">
                  <c:v>1.23</c:v>
                </c:pt>
                <c:pt idx="11">
                  <c:v>5.24</c:v>
                </c:pt>
                <c:pt idx="12">
                  <c:v>2.08</c:v>
                </c:pt>
                <c:pt idx="13">
                  <c:v>5.0199999999999996</c:v>
                </c:pt>
                <c:pt idx="14">
                  <c:v>2.84</c:v>
                </c:pt>
                <c:pt idx="15">
                  <c:v>14.37</c:v>
                </c:pt>
                <c:pt idx="16">
                  <c:v>16.21</c:v>
                </c:pt>
                <c:pt idx="17">
                  <c:v>0.3</c:v>
                </c:pt>
                <c:pt idx="18">
                  <c:v>5.62</c:v>
                </c:pt>
                <c:pt idx="19">
                  <c:v>4.18</c:v>
                </c:pt>
                <c:pt idx="20">
                  <c:v>15.14</c:v>
                </c:pt>
                <c:pt idx="21">
                  <c:v>14.88</c:v>
                </c:pt>
                <c:pt idx="22">
                  <c:v>31.13</c:v>
                </c:pt>
                <c:pt idx="23">
                  <c:v>5.65</c:v>
                </c:pt>
                <c:pt idx="24">
                  <c:v>3.2</c:v>
                </c:pt>
                <c:pt idx="25">
                  <c:v>1.36</c:v>
                </c:pt>
                <c:pt idx="26">
                  <c:v>6.48</c:v>
                </c:pt>
                <c:pt idx="27">
                  <c:v>1.18</c:v>
                </c:pt>
                <c:pt idx="28">
                  <c:v>6.38</c:v>
                </c:pt>
                <c:pt idx="29">
                  <c:v>4.58</c:v>
                </c:pt>
              </c:numCache>
            </c:numRef>
          </c:val>
        </c:ser>
        <c:ser>
          <c:idx val="2"/>
          <c:order val="2"/>
          <c:tx>
            <c:v>Best Management</c:v>
          </c:tx>
          <c:spPr>
            <a:solidFill>
              <a:srgbClr val="339966"/>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RESULTS'!$F$4:$F$33</c:f>
              <c:numCache>
                <c:formatCode>0.00</c:formatCode>
                <c:ptCount val="30"/>
                <c:pt idx="0">
                  <c:v>1.4034076578721861</c:v>
                </c:pt>
                <c:pt idx="1">
                  <c:v>2.6312275414955963</c:v>
                </c:pt>
                <c:pt idx="2">
                  <c:v>54.938114792946536</c:v>
                </c:pt>
                <c:pt idx="3">
                  <c:v>2.8020044995700402</c:v>
                </c:pt>
                <c:pt idx="4">
                  <c:v>5.1079674848032308</c:v>
                </c:pt>
                <c:pt idx="5">
                  <c:v>1.5948022294521682</c:v>
                </c:pt>
                <c:pt idx="6">
                  <c:v>2.9470439499504772</c:v>
                </c:pt>
                <c:pt idx="7">
                  <c:v>3.3771206563155802</c:v>
                </c:pt>
                <c:pt idx="8">
                  <c:v>3.643883915453396</c:v>
                </c:pt>
                <c:pt idx="9">
                  <c:v>4.5662405837813997</c:v>
                </c:pt>
                <c:pt idx="10">
                  <c:v>1.1979283583795115</c:v>
                </c:pt>
                <c:pt idx="11">
                  <c:v>3.5188055510556269</c:v>
                </c:pt>
                <c:pt idx="12">
                  <c:v>1.9462383465080284</c:v>
                </c:pt>
                <c:pt idx="13">
                  <c:v>3.5451155362553388</c:v>
                </c:pt>
                <c:pt idx="14">
                  <c:v>2.4157818096194306</c:v>
                </c:pt>
                <c:pt idx="15">
                  <c:v>11.076337433770142</c:v>
                </c:pt>
                <c:pt idx="16">
                  <c:v>10.321275088122992</c:v>
                </c:pt>
                <c:pt idx="17">
                  <c:v>0.27357280492596653</c:v>
                </c:pt>
                <c:pt idx="18">
                  <c:v>3.7877295398443711</c:v>
                </c:pt>
                <c:pt idx="19">
                  <c:v>2.6871532998901664</c:v>
                </c:pt>
                <c:pt idx="20">
                  <c:v>10.36019254618888</c:v>
                </c:pt>
                <c:pt idx="21">
                  <c:v>9.5380645926710006</c:v>
                </c:pt>
                <c:pt idx="22">
                  <c:v>24.61431470359264</c:v>
                </c:pt>
                <c:pt idx="23">
                  <c:v>3.9850672513518863</c:v>
                </c:pt>
                <c:pt idx="24">
                  <c:v>2.2175741126184962</c:v>
                </c:pt>
                <c:pt idx="25">
                  <c:v>1.3137527882181352</c:v>
                </c:pt>
                <c:pt idx="26">
                  <c:v>4.5284275486096881</c:v>
                </c:pt>
                <c:pt idx="27">
                  <c:v>1.1179206781790507</c:v>
                </c:pt>
                <c:pt idx="28">
                  <c:v>4.3092485099152746</c:v>
                </c:pt>
                <c:pt idx="29">
                  <c:v>2.934706184963682</c:v>
                </c:pt>
              </c:numCache>
            </c:numRef>
          </c:val>
        </c:ser>
        <c:dLbls>
          <c:showLegendKey val="0"/>
          <c:showVal val="0"/>
          <c:showCatName val="0"/>
          <c:showSerName val="0"/>
          <c:showPercent val="0"/>
          <c:showBubbleSize val="0"/>
        </c:dLbls>
        <c:gapWidth val="150"/>
        <c:axId val="853760000"/>
        <c:axId val="849309056"/>
      </c:barChart>
      <c:catAx>
        <c:axId val="853760000"/>
        <c:scaling>
          <c:orientation val="minMax"/>
        </c:scaling>
        <c:delete val="0"/>
        <c:axPos val="b"/>
        <c:majorTickMark val="out"/>
        <c:minorTickMark val="none"/>
        <c:tickLblPos val="nextTo"/>
        <c:txPr>
          <a:bodyPr/>
          <a:lstStyle/>
          <a:p>
            <a:pPr>
              <a:defRPr sz="1100"/>
            </a:pPr>
            <a:endParaRPr lang="en-US"/>
          </a:p>
        </c:txPr>
        <c:crossAx val="849309056"/>
        <c:crosses val="autoZero"/>
        <c:auto val="1"/>
        <c:lblAlgn val="ctr"/>
        <c:lblOffset val="100"/>
        <c:noMultiLvlLbl val="0"/>
      </c:catAx>
      <c:valAx>
        <c:axId val="849309056"/>
        <c:scaling>
          <c:orientation val="minMax"/>
        </c:scaling>
        <c:delete val="0"/>
        <c:axPos val="l"/>
        <c:majorGridlines/>
        <c:numFmt formatCode="0.00" sourceLinked="1"/>
        <c:majorTickMark val="out"/>
        <c:minorTickMark val="none"/>
        <c:tickLblPos val="nextTo"/>
        <c:txPr>
          <a:bodyPr/>
          <a:lstStyle/>
          <a:p>
            <a:pPr>
              <a:defRPr sz="1000"/>
            </a:pPr>
            <a:endParaRPr lang="en-US"/>
          </a:p>
        </c:txPr>
        <c:crossAx val="853760000"/>
        <c:crosses val="autoZero"/>
        <c:crossBetween val="between"/>
      </c:valAx>
    </c:plotArea>
    <c:legend>
      <c:legendPos val="r"/>
      <c:layout>
        <c:manualLayout>
          <c:xMode val="edge"/>
          <c:yMode val="edge"/>
          <c:x val="0.27946607306126692"/>
          <c:y val="5.6958223003316967E-2"/>
          <c:w val="0.4153430278730128"/>
          <c:h val="0.1239435045940280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Sediment Export</a:t>
            </a:r>
            <a:r>
              <a:rPr lang="en-US" baseline="0"/>
              <a:t> Reductions of a 16.5' Buffer (t/ac/yr)</a:t>
            </a:r>
            <a:endParaRPr lang="en-US"/>
          </a:p>
        </c:rich>
      </c:tx>
      <c:overlay val="0"/>
    </c:title>
    <c:autoTitleDeleted val="0"/>
    <c:plotArea>
      <c:layout>
        <c:manualLayout>
          <c:layoutTarget val="inner"/>
          <c:xMode val="edge"/>
          <c:yMode val="edge"/>
          <c:x val="6.5318301584783259E-2"/>
          <c:y val="0.1316932619763401"/>
          <c:w val="0.90844371193931717"/>
          <c:h val="0.65488660191761017"/>
        </c:manualLayout>
      </c:layout>
      <c:barChart>
        <c:barDir val="col"/>
        <c:grouping val="clustered"/>
        <c:varyColors val="0"/>
        <c:ser>
          <c:idx val="0"/>
          <c:order val="0"/>
          <c:tx>
            <c:v>Poor Mgmt</c:v>
          </c:tx>
          <c:spPr>
            <a:solidFill>
              <a:srgbClr val="FF00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RESULTS'!$X$4:$X$33</c:f>
              <c:numCache>
                <c:formatCode>0.00</c:formatCode>
                <c:ptCount val="30"/>
                <c:pt idx="0">
                  <c:v>0.96207989754024403</c:v>
                </c:pt>
                <c:pt idx="1">
                  <c:v>3.5523067459886937</c:v>
                </c:pt>
                <c:pt idx="2">
                  <c:v>1.1597525700529587</c:v>
                </c:pt>
                <c:pt idx="3">
                  <c:v>1.7839485718365089</c:v>
                </c:pt>
                <c:pt idx="4">
                  <c:v>1.0532634077906842</c:v>
                </c:pt>
                <c:pt idx="5">
                  <c:v>2.5805381408189083</c:v>
                </c:pt>
                <c:pt idx="6">
                  <c:v>1.178938943285587</c:v>
                </c:pt>
                <c:pt idx="7">
                  <c:v>1.2736782567436595</c:v>
                </c:pt>
                <c:pt idx="8">
                  <c:v>0.51485698726385642</c:v>
                </c:pt>
                <c:pt idx="9">
                  <c:v>0.95451521121474681</c:v>
                </c:pt>
                <c:pt idx="10">
                  <c:v>1.2347843910974303</c:v>
                </c:pt>
                <c:pt idx="11">
                  <c:v>1.4197678530542754</c:v>
                </c:pt>
                <c:pt idx="12">
                  <c:v>0.87046219860520191</c:v>
                </c:pt>
                <c:pt idx="13">
                  <c:v>2.7612319447388649</c:v>
                </c:pt>
                <c:pt idx="14">
                  <c:v>1.2447544785711564</c:v>
                </c:pt>
                <c:pt idx="15">
                  <c:v>0.24317923269738984</c:v>
                </c:pt>
                <c:pt idx="16">
                  <c:v>4.1156593698834829</c:v>
                </c:pt>
                <c:pt idx="17">
                  <c:v>0.30383922534467556</c:v>
                </c:pt>
                <c:pt idx="18">
                  <c:v>0.67369507925359517</c:v>
                </c:pt>
                <c:pt idx="19">
                  <c:v>6.994307240825659E-2</c:v>
                </c:pt>
                <c:pt idx="20">
                  <c:v>0.25511240565743165</c:v>
                </c:pt>
                <c:pt idx="21">
                  <c:v>1.9939124831247259</c:v>
                </c:pt>
                <c:pt idx="22">
                  <c:v>0.5278350730962913</c:v>
                </c:pt>
                <c:pt idx="23">
                  <c:v>5.0345651347491289</c:v>
                </c:pt>
                <c:pt idx="24">
                  <c:v>3.0720512231914787</c:v>
                </c:pt>
                <c:pt idx="25">
                  <c:v>0.56629243471940127</c:v>
                </c:pt>
                <c:pt idx="26">
                  <c:v>3.3579158110901064</c:v>
                </c:pt>
                <c:pt idx="27">
                  <c:v>0.91727091001343153</c:v>
                </c:pt>
                <c:pt idx="28">
                  <c:v>1.7305392613000219</c:v>
                </c:pt>
                <c:pt idx="29">
                  <c:v>2.2570930334529615</c:v>
                </c:pt>
              </c:numCache>
            </c:numRef>
          </c:val>
        </c:ser>
        <c:ser>
          <c:idx val="1"/>
          <c:order val="1"/>
          <c:tx>
            <c:v>Avg Mgmt</c:v>
          </c:tx>
          <c:spPr>
            <a:solidFill>
              <a:srgbClr val="FFCC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RESULTS'!$Z$4:$Z$33</c:f>
              <c:numCache>
                <c:formatCode>0.00</c:formatCode>
                <c:ptCount val="30"/>
                <c:pt idx="0">
                  <c:v>0.86195063319489429</c:v>
                </c:pt>
                <c:pt idx="1">
                  <c:v>3.1853807077630623</c:v>
                </c:pt>
                <c:pt idx="2">
                  <c:v>0.94908473892562029</c:v>
                </c:pt>
                <c:pt idx="3">
                  <c:v>1.678317338672751</c:v>
                </c:pt>
                <c:pt idx="4">
                  <c:v>0.78924450396082957</c:v>
                </c:pt>
                <c:pt idx="5">
                  <c:v>2.4300000000000002</c:v>
                </c:pt>
                <c:pt idx="6">
                  <c:v>0.91147788096862792</c:v>
                </c:pt>
                <c:pt idx="7">
                  <c:v>1.0846803286586284</c:v>
                </c:pt>
                <c:pt idx="8">
                  <c:v>0.49285680972802837</c:v>
                </c:pt>
                <c:pt idx="9">
                  <c:v>0.69157128654320221</c:v>
                </c:pt>
                <c:pt idx="10">
                  <c:v>1.23</c:v>
                </c:pt>
                <c:pt idx="11">
                  <c:v>1.1344760323695038</c:v>
                </c:pt>
                <c:pt idx="12">
                  <c:v>0.86195063319489429</c:v>
                </c:pt>
                <c:pt idx="13">
                  <c:v>2.0802847012684467</c:v>
                </c:pt>
                <c:pt idx="14">
                  <c:v>1.1768941337853365</c:v>
                </c:pt>
                <c:pt idx="15">
                  <c:v>0.19918720167023807</c:v>
                </c:pt>
                <c:pt idx="16">
                  <c:v>3.5095145963186365</c:v>
                </c:pt>
                <c:pt idx="17">
                  <c:v>0.3</c:v>
                </c:pt>
                <c:pt idx="18">
                  <c:v>0.63094653090467467</c:v>
                </c:pt>
                <c:pt idx="19">
                  <c:v>5.7940327277772319E-2</c:v>
                </c:pt>
                <c:pt idx="20">
                  <c:v>0.2098604198529852</c:v>
                </c:pt>
                <c:pt idx="21">
                  <c:v>1.6705488220394233</c:v>
                </c:pt>
                <c:pt idx="22">
                  <c:v>0.43150296367393892</c:v>
                </c:pt>
                <c:pt idx="23">
                  <c:v>4.347198308903697</c:v>
                </c:pt>
                <c:pt idx="24">
                  <c:v>2.4621300156622707</c:v>
                </c:pt>
                <c:pt idx="25">
                  <c:v>0.56358310631973862</c:v>
                </c:pt>
                <c:pt idx="26">
                  <c:v>2.6853077418764015</c:v>
                </c:pt>
                <c:pt idx="27">
                  <c:v>0.90791044327546222</c:v>
                </c:pt>
                <c:pt idx="28">
                  <c:v>1.3812895203277549</c:v>
                </c:pt>
                <c:pt idx="29">
                  <c:v>1.8979489904002964</c:v>
                </c:pt>
              </c:numCache>
            </c:numRef>
          </c:val>
        </c:ser>
        <c:ser>
          <c:idx val="2"/>
          <c:order val="2"/>
          <c:tx>
            <c:v>Best Mgmt</c:v>
          </c:tx>
          <c:spPr>
            <a:solidFill>
              <a:srgbClr val="339966"/>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RESULTS'!$AB$4:$AB$33</c:f>
              <c:numCache>
                <c:formatCode>0.00</c:formatCode>
                <c:ptCount val="30"/>
                <c:pt idx="0">
                  <c:v>0.58157121121802624</c:v>
                </c:pt>
                <c:pt idx="1">
                  <c:v>2.0245075962354844</c:v>
                </c:pt>
                <c:pt idx="2">
                  <c:v>0.76151491653759962</c:v>
                </c:pt>
                <c:pt idx="3">
                  <c:v>1.1611488233746823</c:v>
                </c:pt>
                <c:pt idx="4">
                  <c:v>0.5734616306958138</c:v>
                </c:pt>
                <c:pt idx="5">
                  <c:v>1.5948022294521682</c:v>
                </c:pt>
                <c:pt idx="6">
                  <c:v>0.63804403197678772</c:v>
                </c:pt>
                <c:pt idx="7">
                  <c:v>0.73115695477289977</c:v>
                </c:pt>
                <c:pt idx="8">
                  <c:v>0.40909179990652333</c:v>
                </c:pt>
                <c:pt idx="9">
                  <c:v>0.5126429992193966</c:v>
                </c:pt>
                <c:pt idx="10">
                  <c:v>1.1979283583795115</c:v>
                </c:pt>
                <c:pt idx="11">
                  <c:v>0.76183216798499487</c:v>
                </c:pt>
                <c:pt idx="12">
                  <c:v>0.80651989188499007</c:v>
                </c:pt>
                <c:pt idx="13">
                  <c:v>1.4690935486655512</c:v>
                </c:pt>
                <c:pt idx="14">
                  <c:v>1.0010983944529692</c:v>
                </c:pt>
                <c:pt idx="15">
                  <c:v>0.15353268324203029</c:v>
                </c:pt>
                <c:pt idx="16">
                  <c:v>2.23458763568091</c:v>
                </c:pt>
                <c:pt idx="17">
                  <c:v>0.27357280492596653</c:v>
                </c:pt>
                <c:pt idx="18">
                  <c:v>0.42524106995906852</c:v>
                </c:pt>
                <c:pt idx="19">
                  <c:v>3.7247498000283041E-2</c:v>
                </c:pt>
                <c:pt idx="20">
                  <c:v>0.14360596813084392</c:v>
                </c:pt>
                <c:pt idx="21">
                  <c:v>1.0708200651762407</c:v>
                </c:pt>
                <c:pt idx="22">
                  <c:v>0.34118694967565588</c:v>
                </c:pt>
                <c:pt idx="23">
                  <c:v>3.0661730293706944</c:v>
                </c:pt>
                <c:pt idx="24">
                  <c:v>1.7062361826980075</c:v>
                </c:pt>
                <c:pt idx="25">
                  <c:v>0.54441829214720172</c:v>
                </c:pt>
                <c:pt idx="26">
                  <c:v>1.8765774004333289</c:v>
                </c:pt>
                <c:pt idx="27">
                  <c:v>0.86014564277317573</c:v>
                </c:pt>
                <c:pt idx="28">
                  <c:v>0.93296548702726678</c:v>
                </c:pt>
                <c:pt idx="29">
                  <c:v>1.2161403146011627</c:v>
                </c:pt>
              </c:numCache>
            </c:numRef>
          </c:val>
        </c:ser>
        <c:dLbls>
          <c:showLegendKey val="0"/>
          <c:showVal val="0"/>
          <c:showCatName val="0"/>
          <c:showSerName val="0"/>
          <c:showPercent val="0"/>
          <c:showBubbleSize val="0"/>
        </c:dLbls>
        <c:gapWidth val="150"/>
        <c:axId val="853761024"/>
        <c:axId val="849311360"/>
      </c:barChart>
      <c:catAx>
        <c:axId val="853761024"/>
        <c:scaling>
          <c:orientation val="minMax"/>
        </c:scaling>
        <c:delete val="0"/>
        <c:axPos val="b"/>
        <c:majorTickMark val="out"/>
        <c:minorTickMark val="none"/>
        <c:tickLblPos val="nextTo"/>
        <c:txPr>
          <a:bodyPr/>
          <a:lstStyle/>
          <a:p>
            <a:pPr>
              <a:defRPr sz="1050"/>
            </a:pPr>
            <a:endParaRPr lang="en-US"/>
          </a:p>
        </c:txPr>
        <c:crossAx val="849311360"/>
        <c:crosses val="autoZero"/>
        <c:auto val="1"/>
        <c:lblAlgn val="ctr"/>
        <c:lblOffset val="100"/>
        <c:noMultiLvlLbl val="0"/>
      </c:catAx>
      <c:valAx>
        <c:axId val="849311360"/>
        <c:scaling>
          <c:orientation val="minMax"/>
          <c:max val="12"/>
        </c:scaling>
        <c:delete val="0"/>
        <c:axPos val="l"/>
        <c:majorGridlines/>
        <c:numFmt formatCode="0.00" sourceLinked="1"/>
        <c:majorTickMark val="out"/>
        <c:minorTickMark val="none"/>
        <c:tickLblPos val="nextTo"/>
        <c:crossAx val="853761024"/>
        <c:crosses val="autoZero"/>
        <c:crossBetween val="between"/>
      </c:valAx>
    </c:plotArea>
    <c:legend>
      <c:legendPos val="r"/>
      <c:layout>
        <c:manualLayout>
          <c:xMode val="edge"/>
          <c:yMode val="edge"/>
          <c:x val="0.33144945462854875"/>
          <c:y val="6.7868744132184952E-2"/>
          <c:w val="0.33573512706583541"/>
          <c:h val="4.543760679287170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Sediment Export</a:t>
            </a:r>
            <a:r>
              <a:rPr lang="en-US" baseline="0"/>
              <a:t> Reductions of a 50' Buffer (t/ac/yr)</a:t>
            </a:r>
            <a:endParaRPr lang="en-US"/>
          </a:p>
        </c:rich>
      </c:tx>
      <c:overlay val="0"/>
    </c:title>
    <c:autoTitleDeleted val="0"/>
    <c:plotArea>
      <c:layout>
        <c:manualLayout>
          <c:layoutTarget val="inner"/>
          <c:xMode val="edge"/>
          <c:yMode val="edge"/>
          <c:x val="6.5318301584783259E-2"/>
          <c:y val="0.1316932619763401"/>
          <c:w val="0.90844371193931717"/>
          <c:h val="0.65488660191761017"/>
        </c:manualLayout>
      </c:layout>
      <c:barChart>
        <c:barDir val="col"/>
        <c:grouping val="clustered"/>
        <c:varyColors val="0"/>
        <c:ser>
          <c:idx val="0"/>
          <c:order val="0"/>
          <c:tx>
            <c:v>Poor Management</c:v>
          </c:tx>
          <c:spPr>
            <a:solidFill>
              <a:srgbClr val="FF00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RESULTS'!$AD$4:$AD$33</c:f>
              <c:numCache>
                <c:formatCode>0.00</c:formatCode>
                <c:ptCount val="30"/>
                <c:pt idx="0">
                  <c:v>1.8386899921864472</c:v>
                </c:pt>
                <c:pt idx="1">
                  <c:v>4.4407696521172859</c:v>
                </c:pt>
                <c:pt idx="2">
                  <c:v>3.3026781901708091</c:v>
                </c:pt>
                <c:pt idx="3">
                  <c:v>3.4094137025390716</c:v>
                </c:pt>
                <c:pt idx="4">
                  <c:v>2.8239996686792086</c:v>
                </c:pt>
                <c:pt idx="5">
                  <c:v>2.5805381408189083</c:v>
                </c:pt>
                <c:pt idx="6">
                  <c:v>2.8141067476263886</c:v>
                </c:pt>
                <c:pt idx="7">
                  <c:v>3.0402478406713316</c:v>
                </c:pt>
                <c:pt idx="8">
                  <c:v>1.3804295779154723</c:v>
                </c:pt>
                <c:pt idx="9">
                  <c:v>2.5592369584678476</c:v>
                </c:pt>
                <c:pt idx="10">
                  <c:v>1.2347843910974303</c:v>
                </c:pt>
                <c:pt idx="11">
                  <c:v>3.3889611655446217</c:v>
                </c:pt>
                <c:pt idx="12">
                  <c:v>1.6635937797308011</c:v>
                </c:pt>
                <c:pt idx="13">
                  <c:v>5.2771599904305218</c:v>
                </c:pt>
                <c:pt idx="14">
                  <c:v>2.3789267485264207</c:v>
                </c:pt>
                <c:pt idx="15">
                  <c:v>0.6925121520493569</c:v>
                </c:pt>
                <c:pt idx="16">
                  <c:v>9.8240073158014827</c:v>
                </c:pt>
                <c:pt idx="17">
                  <c:v>0.30383922534467556</c:v>
                </c:pt>
                <c:pt idx="18">
                  <c:v>1.8063047349130503</c:v>
                </c:pt>
                <c:pt idx="19">
                  <c:v>0.1991799507594445</c:v>
                </c:pt>
                <c:pt idx="20">
                  <c:v>0.72649477135311358</c:v>
                </c:pt>
                <c:pt idx="21">
                  <c:v>5.3460588776464739</c:v>
                </c:pt>
                <c:pt idx="22">
                  <c:v>1.5031390564995561</c:v>
                </c:pt>
                <c:pt idx="23">
                  <c:v>6.2937537945583895</c:v>
                </c:pt>
                <c:pt idx="24">
                  <c:v>3.8403980335041497</c:v>
                </c:pt>
                <c:pt idx="25">
                  <c:v>1.0822762590005213</c:v>
                </c:pt>
                <c:pt idx="26">
                  <c:v>6.4175191813502668</c:v>
                </c:pt>
                <c:pt idx="27">
                  <c:v>1.1466883665261651</c:v>
                </c:pt>
                <c:pt idx="28">
                  <c:v>4.130767110538212</c:v>
                </c:pt>
                <c:pt idx="29">
                  <c:v>4.3136691481178264</c:v>
                </c:pt>
              </c:numCache>
            </c:numRef>
          </c:val>
        </c:ser>
        <c:ser>
          <c:idx val="1"/>
          <c:order val="1"/>
          <c:tx>
            <c:v>Average Management</c:v>
          </c:tx>
          <c:spPr>
            <a:solidFill>
              <a:srgbClr val="FFCC00"/>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RESULTS'!$AF$4:$AF$33</c:f>
              <c:numCache>
                <c:formatCode>0.00</c:formatCode>
                <c:ptCount val="30"/>
                <c:pt idx="0">
                  <c:v>1.6473268042147491</c:v>
                </c:pt>
                <c:pt idx="1">
                  <c:v>3.9820722108098909</c:v>
                </c:pt>
                <c:pt idx="2">
                  <c:v>2.7027501803513871</c:v>
                </c:pt>
                <c:pt idx="3">
                  <c:v>3.2075353639758335</c:v>
                </c:pt>
                <c:pt idx="4">
                  <c:v>2.1161147355982255</c:v>
                </c:pt>
                <c:pt idx="5">
                  <c:v>2.4300000000000002</c:v>
                </c:pt>
                <c:pt idx="6">
                  <c:v>2.1756818448948896</c:v>
                </c:pt>
                <c:pt idx="7">
                  <c:v>2.5891130743285977</c:v>
                </c:pt>
                <c:pt idx="8">
                  <c:v>1.3214429145485362</c:v>
                </c:pt>
                <c:pt idx="9">
                  <c:v>1.854234249115942</c:v>
                </c:pt>
                <c:pt idx="10">
                  <c:v>1.23</c:v>
                </c:pt>
                <c:pt idx="11">
                  <c:v>2.7079745527907892</c:v>
                </c:pt>
                <c:pt idx="12">
                  <c:v>1.6473268042147491</c:v>
                </c:pt>
                <c:pt idx="13">
                  <c:v>3.9757598832490579</c:v>
                </c:pt>
                <c:pt idx="14">
                  <c:v>2.249234674985523</c:v>
                </c:pt>
                <c:pt idx="15">
                  <c:v>0.56723411847012351</c:v>
                </c:pt>
                <c:pt idx="16">
                  <c:v>8.3771502864005143</c:v>
                </c:pt>
                <c:pt idx="17">
                  <c:v>0.3</c:v>
                </c:pt>
                <c:pt idx="18">
                  <c:v>1.6916877402648689</c:v>
                </c:pt>
                <c:pt idx="19">
                  <c:v>0.16499920773869992</c:v>
                </c:pt>
                <c:pt idx="20">
                  <c:v>0.59762870936935819</c:v>
                </c:pt>
                <c:pt idx="21">
                  <c:v>4.4790593550073403</c:v>
                </c:pt>
                <c:pt idx="22">
                  <c:v>1.2288098892118988</c:v>
                </c:pt>
                <c:pt idx="23">
                  <c:v>5.4344705292453837</c:v>
                </c:pt>
                <c:pt idx="24">
                  <c:v>3.0779302112540226</c:v>
                </c:pt>
                <c:pt idx="25">
                  <c:v>1.07709829506349</c:v>
                </c:pt>
                <c:pt idx="26">
                  <c:v>5.1320565823613347</c:v>
                </c:pt>
                <c:pt idx="27">
                  <c:v>1.1349867653999206</c:v>
                </c:pt>
                <c:pt idx="28">
                  <c:v>3.2971140547338234</c:v>
                </c:pt>
                <c:pt idx="29">
                  <c:v>3.6272869054343997</c:v>
                </c:pt>
              </c:numCache>
            </c:numRef>
          </c:val>
        </c:ser>
        <c:ser>
          <c:idx val="2"/>
          <c:order val="2"/>
          <c:tx>
            <c:v>Best Management</c:v>
          </c:tx>
          <c:spPr>
            <a:solidFill>
              <a:srgbClr val="339966"/>
            </a:solidFill>
          </c:spPr>
          <c:invertIfNegative val="0"/>
          <c:cat>
            <c:strRef>
              <c:f>'270 Baseline RESULTS'!$A$4:$A$33</c:f>
              <c:strCache>
                <c:ptCount val="30"/>
                <c:pt idx="0">
                  <c:v>Alluvium and Outwash</c:v>
                </c:pt>
                <c:pt idx="1">
                  <c:v>Anoka Sand Plains</c:v>
                </c:pt>
                <c:pt idx="2">
                  <c:v>Blufflands</c:v>
                </c:pt>
                <c:pt idx="3">
                  <c:v>Central Till</c:v>
                </c:pt>
                <c:pt idx="4">
                  <c:v>Coteau</c:v>
                </c:pt>
                <c:pt idx="5">
                  <c:v>Drumlins</c:v>
                </c:pt>
                <c:pt idx="6">
                  <c:v>Dryer Blue Earth Till</c:v>
                </c:pt>
                <c:pt idx="7">
                  <c:v>Dryer Clays and Silts</c:v>
                </c:pt>
                <c:pt idx="8">
                  <c:v>Dryer Till</c:v>
                </c:pt>
                <c:pt idx="9">
                  <c:v>Inner Coteau</c:v>
                </c:pt>
                <c:pt idx="10">
                  <c:v>Inter-Beach Sand Bars</c:v>
                </c:pt>
                <c:pt idx="11">
                  <c:v>Level Plains</c:v>
                </c:pt>
                <c:pt idx="12">
                  <c:v>Mahnomen Lake Sediments</c:v>
                </c:pt>
                <c:pt idx="13">
                  <c:v>Poorly Drained Blue Earth Till</c:v>
                </c:pt>
                <c:pt idx="14">
                  <c:v>Poorly Drained Lake Sediments</c:v>
                </c:pt>
                <c:pt idx="15">
                  <c:v>Rochester Plateau</c:v>
                </c:pt>
                <c:pt idx="16">
                  <c:v>Rolling Moraine</c:v>
                </c:pt>
                <c:pt idx="17">
                  <c:v>Somewhat Poorly Drained Lake Sed</c:v>
                </c:pt>
                <c:pt idx="18">
                  <c:v>Steep Dryer Moraine</c:v>
                </c:pt>
                <c:pt idx="19">
                  <c:v>Steep Stream Banks</c:v>
                </c:pt>
                <c:pt idx="20">
                  <c:v>Steep Valley Walls</c:v>
                </c:pt>
                <c:pt idx="21">
                  <c:v>Steep Wetter Moraine</c:v>
                </c:pt>
                <c:pt idx="22">
                  <c:v>Steeper Alluvium</c:v>
                </c:pt>
                <c:pt idx="23">
                  <c:v>Steeper Till</c:v>
                </c:pt>
                <c:pt idx="24">
                  <c:v>Stream Banks</c:v>
                </c:pt>
                <c:pt idx="25">
                  <c:v>Swelling Clay Lake Sed</c:v>
                </c:pt>
                <c:pt idx="26">
                  <c:v>Undulating Plains</c:v>
                </c:pt>
                <c:pt idx="27">
                  <c:v>Very Poorly Drained Lake Sed</c:v>
                </c:pt>
                <c:pt idx="28">
                  <c:v>Wetter Blue Earth Till </c:v>
                </c:pt>
                <c:pt idx="29">
                  <c:v>Wetter Clays and silts</c:v>
                </c:pt>
              </c:strCache>
            </c:strRef>
          </c:cat>
          <c:val>
            <c:numRef>
              <c:f>'270 Baseline RESULTS'!$AH$4:$AH$33</c:f>
              <c:numCache>
                <c:formatCode>0.00</c:formatCode>
                <c:ptCount val="30"/>
                <c:pt idx="0">
                  <c:v>1.1114764673332185</c:v>
                </c:pt>
                <c:pt idx="1">
                  <c:v>2.5308546070790445</c:v>
                </c:pt>
                <c:pt idx="2">
                  <c:v>2.1685993816971134</c:v>
                </c:pt>
                <c:pt idx="3">
                  <c:v>2.2191428450346451</c:v>
                </c:pt>
                <c:pt idx="4">
                  <c:v>1.5375597814436306</c:v>
                </c:pt>
                <c:pt idx="5">
                  <c:v>1.5948022294521682</c:v>
                </c:pt>
                <c:pt idx="6">
                  <c:v>1.5230000042789971</c:v>
                </c:pt>
                <c:pt idx="7">
                  <c:v>1.7452589311081526</c:v>
                </c:pt>
                <c:pt idx="8">
                  <c:v>1.0968529798435691</c:v>
                </c:pt>
                <c:pt idx="9">
                  <c:v>1.3744934545699095</c:v>
                </c:pt>
                <c:pt idx="10">
                  <c:v>1.1979283583795115</c:v>
                </c:pt>
                <c:pt idx="11">
                  <c:v>1.8184801313888563</c:v>
                </c:pt>
                <c:pt idx="12">
                  <c:v>1.5413897094198403</c:v>
                </c:pt>
                <c:pt idx="13">
                  <c:v>2.8076749263997902</c:v>
                </c:pt>
                <c:pt idx="14">
                  <c:v>1.9132606385194713</c:v>
                </c:pt>
                <c:pt idx="15">
                  <c:v>0.43722174670300973</c:v>
                </c:pt>
                <c:pt idx="16">
                  <c:v>5.3339218112577429</c:v>
                </c:pt>
                <c:pt idx="17">
                  <c:v>0.27357280492596653</c:v>
                </c:pt>
                <c:pt idx="18">
                  <c:v>1.1401522466181166</c:v>
                </c:pt>
                <c:pt idx="19">
                  <c:v>0.10607133147232295</c:v>
                </c:pt>
                <c:pt idx="20">
                  <c:v>0.40895300529702183</c:v>
                </c:pt>
                <c:pt idx="21">
                  <c:v>2.8710724087679642</c:v>
                </c:pt>
                <c:pt idx="22">
                  <c:v>0.97161302036455055</c:v>
                </c:pt>
                <c:pt idx="23">
                  <c:v>3.8330496521296866</c:v>
                </c:pt>
                <c:pt idx="24">
                  <c:v>2.1329807365385309</c:v>
                </c:pt>
                <c:pt idx="25">
                  <c:v>1.0404712414151909</c:v>
                </c:pt>
                <c:pt idx="26">
                  <c:v>3.5864423470044366</c:v>
                </c:pt>
                <c:pt idx="27">
                  <c:v>1.0752755716102766</c:v>
                </c:pt>
                <c:pt idx="28">
                  <c:v>2.2269723867370592</c:v>
                </c:pt>
                <c:pt idx="29">
                  <c:v>2.3242404620122503</c:v>
                </c:pt>
              </c:numCache>
            </c:numRef>
          </c:val>
        </c:ser>
        <c:dLbls>
          <c:showLegendKey val="0"/>
          <c:showVal val="0"/>
          <c:showCatName val="0"/>
          <c:showSerName val="0"/>
          <c:showPercent val="0"/>
          <c:showBubbleSize val="0"/>
        </c:dLbls>
        <c:gapWidth val="150"/>
        <c:axId val="854086144"/>
        <c:axId val="850886656"/>
      </c:barChart>
      <c:catAx>
        <c:axId val="854086144"/>
        <c:scaling>
          <c:orientation val="minMax"/>
        </c:scaling>
        <c:delete val="0"/>
        <c:axPos val="b"/>
        <c:majorTickMark val="out"/>
        <c:minorTickMark val="none"/>
        <c:tickLblPos val="nextTo"/>
        <c:txPr>
          <a:bodyPr/>
          <a:lstStyle/>
          <a:p>
            <a:pPr>
              <a:defRPr sz="1050"/>
            </a:pPr>
            <a:endParaRPr lang="en-US"/>
          </a:p>
        </c:txPr>
        <c:crossAx val="850886656"/>
        <c:crosses val="autoZero"/>
        <c:auto val="1"/>
        <c:lblAlgn val="ctr"/>
        <c:lblOffset val="100"/>
        <c:noMultiLvlLbl val="0"/>
      </c:catAx>
      <c:valAx>
        <c:axId val="850886656"/>
        <c:scaling>
          <c:orientation val="minMax"/>
        </c:scaling>
        <c:delete val="0"/>
        <c:axPos val="l"/>
        <c:majorGridlines/>
        <c:numFmt formatCode="0.00" sourceLinked="1"/>
        <c:majorTickMark val="out"/>
        <c:minorTickMark val="none"/>
        <c:tickLblPos val="nextTo"/>
        <c:crossAx val="854086144"/>
        <c:crosses val="autoZero"/>
        <c:crossBetween val="between"/>
      </c:valAx>
    </c:plotArea>
    <c:legend>
      <c:legendPos val="r"/>
      <c:layout>
        <c:manualLayout>
          <c:xMode val="edge"/>
          <c:yMode val="edge"/>
          <c:x val="0.33144945462854875"/>
          <c:y val="6.7868744132184952E-2"/>
          <c:w val="0.33573512706583541"/>
          <c:h val="4.5437606792871704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trlProps/ctrlProp1.xml><?xml version="1.0" encoding="utf-8"?>
<formControlPr xmlns="http://schemas.microsoft.com/office/spreadsheetml/2009/9/main" objectType="CheckBox" fmlaLink="$H$6"/>
</file>

<file path=xl/ctrlProps/ctrlProp10.xml><?xml version="1.0" encoding="utf-8"?>
<formControlPr xmlns="http://schemas.microsoft.com/office/spreadsheetml/2009/9/main" objectType="CheckBox" checked="Checked" fmlaLink="$H$11"/>
</file>

<file path=xl/ctrlProps/ctrlProp11.xml><?xml version="1.0" encoding="utf-8"?>
<formControlPr xmlns="http://schemas.microsoft.com/office/spreadsheetml/2009/9/main" objectType="CheckBox" fmlaLink="H12"/>
</file>

<file path=xl/ctrlProps/ctrlProp12.xml><?xml version="1.0" encoding="utf-8"?>
<formControlPr xmlns="http://schemas.microsoft.com/office/spreadsheetml/2009/9/main" objectType="CheckBox" fmlaLink="#REF!" lockText="1"/>
</file>

<file path=xl/ctrlProps/ctrlProp13.xml><?xml version="1.0" encoding="utf-8"?>
<formControlPr xmlns="http://schemas.microsoft.com/office/spreadsheetml/2009/9/main" objectType="CheckBox" fmlaLink="H13"/>
</file>

<file path=xl/ctrlProps/ctrlProp14.xml><?xml version="1.0" encoding="utf-8"?>
<formControlPr xmlns="http://schemas.microsoft.com/office/spreadsheetml/2009/9/main" objectType="CheckBox" fmlaLink="H14"/>
</file>

<file path=xl/ctrlProps/ctrlProp15.xml><?xml version="1.0" encoding="utf-8"?>
<formControlPr xmlns="http://schemas.microsoft.com/office/spreadsheetml/2009/9/main" objectType="CheckBox" fmlaLink="H15"/>
</file>

<file path=xl/ctrlProps/ctrlProp2.xml><?xml version="1.0" encoding="utf-8"?>
<formControlPr xmlns="http://schemas.microsoft.com/office/spreadsheetml/2009/9/main" objectType="CheckBox" fmlaLink="H7"/>
</file>

<file path=xl/ctrlProps/ctrlProp3.xml><?xml version="1.0" encoding="utf-8"?>
<formControlPr xmlns="http://schemas.microsoft.com/office/spreadsheetml/2009/9/main" objectType="CheckBox" fmlaLink="H8"/>
</file>

<file path=xl/ctrlProps/ctrlProp4.xml><?xml version="1.0" encoding="utf-8"?>
<formControlPr xmlns="http://schemas.microsoft.com/office/spreadsheetml/2009/9/main" objectType="CheckBox" fmlaLink="H9"/>
</file>

<file path=xl/ctrlProps/ctrlProp5.xml><?xml version="1.0" encoding="utf-8"?>
<formControlPr xmlns="http://schemas.microsoft.com/office/spreadsheetml/2009/9/main" objectType="CheckBox" fmlaLink="H10"/>
</file>

<file path=xl/ctrlProps/ctrlProp6.xml><?xml version="1.0" encoding="utf-8"?>
<formControlPr xmlns="http://schemas.microsoft.com/office/spreadsheetml/2009/9/main" objectType="CheckBox" fmlaLink="#REF!"/>
</file>

<file path=xl/ctrlProps/ctrlProp7.xml><?xml version="1.0" encoding="utf-8"?>
<formControlPr xmlns="http://schemas.microsoft.com/office/spreadsheetml/2009/9/main" objectType="CheckBox" checked="Checked" fmlaLink="#REF!"/>
</file>

<file path=xl/ctrlProps/ctrlProp8.xml><?xml version="1.0" encoding="utf-8"?>
<formControlPr xmlns="http://schemas.microsoft.com/office/spreadsheetml/2009/9/main" objectType="CheckBox" fmlaLink="H16"/>
</file>

<file path=xl/ctrlProps/ctrlProp9.xml><?xml version="1.0" encoding="utf-8"?>
<formControlPr xmlns="http://schemas.microsoft.com/office/spreadsheetml/2009/9/main" objectType="CheckBox" fmlaLink="H17"/>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2924175</xdr:colOff>
          <xdr:row>5</xdr:row>
          <xdr:rowOff>0</xdr:rowOff>
        </xdr:from>
        <xdr:to>
          <xdr:col>1</xdr:col>
          <xdr:colOff>3114675</xdr:colOff>
          <xdr:row>6</xdr:row>
          <xdr:rowOff>190500</xdr:rowOff>
        </xdr:to>
        <xdr:sp macro="" textlink="">
          <xdr:nvSpPr>
            <xdr:cNvPr id="24579" name="Check Box 3" hidden="1">
              <a:extLst>
                <a:ext uri="{63B3BB69-23CF-44E3-9099-C40C66FF867C}">
                  <a14:compatExt spid="_x0000_s2457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5</xdr:row>
          <xdr:rowOff>0</xdr:rowOff>
        </xdr:from>
        <xdr:to>
          <xdr:col>1</xdr:col>
          <xdr:colOff>3114675</xdr:colOff>
          <xdr:row>6</xdr:row>
          <xdr:rowOff>190500</xdr:rowOff>
        </xdr:to>
        <xdr:sp macro="" textlink="">
          <xdr:nvSpPr>
            <xdr:cNvPr id="24580" name="Check Box 4" hidden="1">
              <a:extLst>
                <a:ext uri="{63B3BB69-23CF-44E3-9099-C40C66FF867C}">
                  <a14:compatExt spid="_x0000_s2458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7</xdr:row>
          <xdr:rowOff>0</xdr:rowOff>
        </xdr:from>
        <xdr:to>
          <xdr:col>1</xdr:col>
          <xdr:colOff>3114675</xdr:colOff>
          <xdr:row>7</xdr:row>
          <xdr:rowOff>190500</xdr:rowOff>
        </xdr:to>
        <xdr:sp macro="" textlink="">
          <xdr:nvSpPr>
            <xdr:cNvPr id="24581" name="Check Box 5" hidden="1">
              <a:extLst>
                <a:ext uri="{63B3BB69-23CF-44E3-9099-C40C66FF867C}">
                  <a14:compatExt spid="_x0000_s2458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8</xdr:row>
          <xdr:rowOff>0</xdr:rowOff>
        </xdr:from>
        <xdr:to>
          <xdr:col>1</xdr:col>
          <xdr:colOff>3114675</xdr:colOff>
          <xdr:row>8</xdr:row>
          <xdr:rowOff>190500</xdr:rowOff>
        </xdr:to>
        <xdr:sp macro="" textlink="">
          <xdr:nvSpPr>
            <xdr:cNvPr id="24582" name="Check Box 6" hidden="1">
              <a:extLst>
                <a:ext uri="{63B3BB69-23CF-44E3-9099-C40C66FF867C}">
                  <a14:compatExt spid="_x0000_s245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9</xdr:row>
          <xdr:rowOff>0</xdr:rowOff>
        </xdr:from>
        <xdr:to>
          <xdr:col>1</xdr:col>
          <xdr:colOff>3114675</xdr:colOff>
          <xdr:row>9</xdr:row>
          <xdr:rowOff>190500</xdr:rowOff>
        </xdr:to>
        <xdr:sp macro="" textlink="">
          <xdr:nvSpPr>
            <xdr:cNvPr id="24583" name="Check Box 7" hidden="1">
              <a:extLst>
                <a:ext uri="{63B3BB69-23CF-44E3-9099-C40C66FF867C}">
                  <a14:compatExt spid="_x0000_s245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15</xdr:row>
          <xdr:rowOff>0</xdr:rowOff>
        </xdr:from>
        <xdr:to>
          <xdr:col>1</xdr:col>
          <xdr:colOff>3114675</xdr:colOff>
          <xdr:row>15</xdr:row>
          <xdr:rowOff>190500</xdr:rowOff>
        </xdr:to>
        <xdr:sp macro="" textlink="">
          <xdr:nvSpPr>
            <xdr:cNvPr id="24584" name="Check Box 8" hidden="1">
              <a:extLst>
                <a:ext uri="{63B3BB69-23CF-44E3-9099-C40C66FF867C}">
                  <a14:compatExt spid="_x0000_s2458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10</xdr:row>
          <xdr:rowOff>0</xdr:rowOff>
        </xdr:from>
        <xdr:to>
          <xdr:col>1</xdr:col>
          <xdr:colOff>3114675</xdr:colOff>
          <xdr:row>10</xdr:row>
          <xdr:rowOff>190500</xdr:rowOff>
        </xdr:to>
        <xdr:sp macro="" textlink="">
          <xdr:nvSpPr>
            <xdr:cNvPr id="24585" name="Check Box 9" hidden="1">
              <a:extLst>
                <a:ext uri="{63B3BB69-23CF-44E3-9099-C40C66FF867C}">
                  <a14:compatExt spid="_x0000_s2458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15</xdr:row>
          <xdr:rowOff>0</xdr:rowOff>
        </xdr:from>
        <xdr:to>
          <xdr:col>1</xdr:col>
          <xdr:colOff>3114675</xdr:colOff>
          <xdr:row>15</xdr:row>
          <xdr:rowOff>190500</xdr:rowOff>
        </xdr:to>
        <xdr:sp macro="" textlink="">
          <xdr:nvSpPr>
            <xdr:cNvPr id="24586" name="Check Box 10" hidden="1">
              <a:extLst>
                <a:ext uri="{63B3BB69-23CF-44E3-9099-C40C66FF867C}">
                  <a14:compatExt spid="_x0000_s2458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16</xdr:row>
          <xdr:rowOff>0</xdr:rowOff>
        </xdr:from>
        <xdr:to>
          <xdr:col>1</xdr:col>
          <xdr:colOff>3114675</xdr:colOff>
          <xdr:row>16</xdr:row>
          <xdr:rowOff>190500</xdr:rowOff>
        </xdr:to>
        <xdr:sp macro="" textlink="">
          <xdr:nvSpPr>
            <xdr:cNvPr id="24587" name="Check Box 11" hidden="1">
              <a:extLst>
                <a:ext uri="{63B3BB69-23CF-44E3-9099-C40C66FF867C}">
                  <a14:compatExt spid="_x0000_s245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10</xdr:row>
          <xdr:rowOff>0</xdr:rowOff>
        </xdr:from>
        <xdr:to>
          <xdr:col>1</xdr:col>
          <xdr:colOff>3114675</xdr:colOff>
          <xdr:row>10</xdr:row>
          <xdr:rowOff>190500</xdr:rowOff>
        </xdr:to>
        <xdr:sp macro="" textlink="">
          <xdr:nvSpPr>
            <xdr:cNvPr id="24588" name="Check Box 12" hidden="1">
              <a:extLst>
                <a:ext uri="{63B3BB69-23CF-44E3-9099-C40C66FF867C}">
                  <a14:compatExt spid="_x0000_s24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11</xdr:row>
          <xdr:rowOff>0</xdr:rowOff>
        </xdr:from>
        <xdr:to>
          <xdr:col>1</xdr:col>
          <xdr:colOff>3114675</xdr:colOff>
          <xdr:row>11</xdr:row>
          <xdr:rowOff>190500</xdr:rowOff>
        </xdr:to>
        <xdr:sp macro="" textlink="">
          <xdr:nvSpPr>
            <xdr:cNvPr id="24589" name="Check Box 13" hidden="1">
              <a:extLst>
                <a:ext uri="{63B3BB69-23CF-44E3-9099-C40C66FF867C}">
                  <a14:compatExt spid="_x0000_s2458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12</xdr:row>
          <xdr:rowOff>0</xdr:rowOff>
        </xdr:from>
        <xdr:to>
          <xdr:col>1</xdr:col>
          <xdr:colOff>3114675</xdr:colOff>
          <xdr:row>12</xdr:row>
          <xdr:rowOff>190500</xdr:rowOff>
        </xdr:to>
        <xdr:sp macro="" textlink="">
          <xdr:nvSpPr>
            <xdr:cNvPr id="24590" name="Check Box 14" hidden="1">
              <a:extLst>
                <a:ext uri="{63B3BB69-23CF-44E3-9099-C40C66FF867C}">
                  <a14:compatExt spid="_x0000_s24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12</xdr:row>
          <xdr:rowOff>0</xdr:rowOff>
        </xdr:from>
        <xdr:to>
          <xdr:col>1</xdr:col>
          <xdr:colOff>3114675</xdr:colOff>
          <xdr:row>12</xdr:row>
          <xdr:rowOff>190500</xdr:rowOff>
        </xdr:to>
        <xdr:sp macro="" textlink="">
          <xdr:nvSpPr>
            <xdr:cNvPr id="24591" name="Check Box 15" hidden="1">
              <a:extLst>
                <a:ext uri="{63B3BB69-23CF-44E3-9099-C40C66FF867C}">
                  <a14:compatExt spid="_x0000_s2459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13</xdr:row>
          <xdr:rowOff>0</xdr:rowOff>
        </xdr:from>
        <xdr:to>
          <xdr:col>1</xdr:col>
          <xdr:colOff>3114675</xdr:colOff>
          <xdr:row>13</xdr:row>
          <xdr:rowOff>190500</xdr:rowOff>
        </xdr:to>
        <xdr:sp macro="" textlink="">
          <xdr:nvSpPr>
            <xdr:cNvPr id="24592" name="Check Box 16" hidden="1">
              <a:extLst>
                <a:ext uri="{63B3BB69-23CF-44E3-9099-C40C66FF867C}">
                  <a14:compatExt spid="_x0000_s245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2924175</xdr:colOff>
          <xdr:row>14</xdr:row>
          <xdr:rowOff>0</xdr:rowOff>
        </xdr:from>
        <xdr:to>
          <xdr:col>1</xdr:col>
          <xdr:colOff>3114675</xdr:colOff>
          <xdr:row>14</xdr:row>
          <xdr:rowOff>190500</xdr:rowOff>
        </xdr:to>
        <xdr:sp macro="" textlink="">
          <xdr:nvSpPr>
            <xdr:cNvPr id="24594" name="Check Box 18" hidden="1">
              <a:extLst>
                <a:ext uri="{63B3BB69-23CF-44E3-9099-C40C66FF867C}">
                  <a14:compatExt spid="_x0000_s24594"/>
                </a:ext>
              </a:extLst>
            </xdr:cNvPr>
            <xdr:cNvSpPr/>
          </xdr:nvSpPr>
          <xdr:spPr>
            <a:xfrm>
              <a:off x="0" y="0"/>
              <a:ext cx="0" cy="0"/>
            </a:xfrm>
            <a:prstGeom prst="rect">
              <a:avLst/>
            </a:prstGeom>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4</xdr:row>
          <xdr:rowOff>12700</xdr:rowOff>
        </xdr:from>
        <xdr:to>
          <xdr:col>12</xdr:col>
          <xdr:colOff>333375</xdr:colOff>
          <xdr:row>11</xdr:row>
          <xdr:rowOff>60325</xdr:rowOff>
        </xdr:to>
        <xdr:pic>
          <xdr:nvPicPr>
            <xdr:cNvPr id="65537" name="Picture 1"/>
            <xdr:cNvPicPr>
              <a:picLocks noChangeAspect="1" noChangeArrowheads="1"/>
              <a:extLst>
                <a:ext uri="{84589F7E-364E-4C9E-8A38-B11213B215E9}">
                  <a14:cameraTool cellRange="'(STEP 1) Baseline Conditions'!$A$4:$B$9" spid="_x0000_s65627"/>
                </a:ext>
              </a:extLst>
            </xdr:cNvPicPr>
          </xdr:nvPicPr>
          <xdr:blipFill>
            <a:blip xmlns:r="http://schemas.openxmlformats.org/officeDocument/2006/relationships" r:embed="rId1"/>
            <a:srcRect/>
            <a:stretch>
              <a:fillRect/>
            </a:stretch>
          </xdr:blipFill>
          <xdr:spPr bwMode="auto">
            <a:xfrm>
              <a:off x="0" y="12700"/>
              <a:ext cx="8029575" cy="1381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63500</xdr:rowOff>
        </xdr:from>
        <xdr:to>
          <xdr:col>12</xdr:col>
          <xdr:colOff>333375</xdr:colOff>
          <xdr:row>18</xdr:row>
          <xdr:rowOff>111125</xdr:rowOff>
        </xdr:to>
        <xdr:pic>
          <xdr:nvPicPr>
            <xdr:cNvPr id="65538" name="Picture 2"/>
            <xdr:cNvPicPr>
              <a:picLocks noChangeAspect="1" noChangeArrowheads="1"/>
              <a:extLst>
                <a:ext uri="{84589F7E-364E-4C9E-8A38-B11213B215E9}">
                  <a14:cameraTool cellRange="'(STEP 1) Baseline Conditions'!$A$12:$B$17" spid="_x0000_s65628"/>
                </a:ext>
              </a:extLst>
            </xdr:cNvPicPr>
          </xdr:nvPicPr>
          <xdr:blipFill>
            <a:blip xmlns:r="http://schemas.openxmlformats.org/officeDocument/2006/relationships" r:embed="rId2"/>
            <a:srcRect/>
            <a:stretch>
              <a:fillRect/>
            </a:stretch>
          </xdr:blipFill>
          <xdr:spPr bwMode="auto">
            <a:xfrm>
              <a:off x="0" y="1397000"/>
              <a:ext cx="8029575" cy="13811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114300</xdr:rowOff>
        </xdr:from>
        <xdr:to>
          <xdr:col>13</xdr:col>
          <xdr:colOff>19050</xdr:colOff>
          <xdr:row>36</xdr:row>
          <xdr:rowOff>180975</xdr:rowOff>
        </xdr:to>
        <xdr:pic>
          <xdr:nvPicPr>
            <xdr:cNvPr id="65539" name="Picture 3"/>
            <xdr:cNvPicPr>
              <a:picLocks noChangeAspect="1" noChangeArrowheads="1"/>
              <a:extLst>
                <a:ext uri="{84589F7E-364E-4C9E-8A38-B11213B215E9}">
                  <a14:cameraTool cellRange="'(STEP 2) Alternative BMP Choice'!$B$4:$E$20" spid="_x0000_s65629"/>
                </a:ext>
              </a:extLst>
            </xdr:cNvPicPr>
          </xdr:nvPicPr>
          <xdr:blipFill>
            <a:blip xmlns:r="http://schemas.openxmlformats.org/officeDocument/2006/relationships" r:embed="rId3"/>
            <a:srcRect/>
            <a:stretch>
              <a:fillRect/>
            </a:stretch>
          </xdr:blipFill>
          <xdr:spPr bwMode="auto">
            <a:xfrm>
              <a:off x="0" y="2781300"/>
              <a:ext cx="8324850" cy="34956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67234</xdr:colOff>
      <xdr:row>35</xdr:row>
      <xdr:rowOff>113179</xdr:rowOff>
    </xdr:from>
    <xdr:to>
      <xdr:col>11</xdr:col>
      <xdr:colOff>806822</xdr:colOff>
      <xdr:row>73</xdr:row>
      <xdr:rowOff>123264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437031</xdr:colOff>
      <xdr:row>35</xdr:row>
      <xdr:rowOff>166687</xdr:rowOff>
    </xdr:from>
    <xdr:to>
      <xdr:col>22</xdr:col>
      <xdr:colOff>976313</xdr:colOff>
      <xdr:row>74</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75</xdr:row>
      <xdr:rowOff>0</xdr:rowOff>
    </xdr:from>
    <xdr:to>
      <xdr:col>12</xdr:col>
      <xdr:colOff>280147</xdr:colOff>
      <xdr:row>113</xdr:row>
      <xdr:rowOff>10085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114</xdr:row>
      <xdr:rowOff>0</xdr:rowOff>
    </xdr:from>
    <xdr:to>
      <xdr:col>12</xdr:col>
      <xdr:colOff>280147</xdr:colOff>
      <xdr:row>152</xdr:row>
      <xdr:rowOff>10085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75</xdr:row>
      <xdr:rowOff>47624</xdr:rowOff>
    </xdr:from>
    <xdr:to>
      <xdr:col>23</xdr:col>
      <xdr:colOff>0</xdr:colOff>
      <xdr:row>112</xdr:row>
      <xdr:rowOff>189380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153</xdr:row>
      <xdr:rowOff>0</xdr:rowOff>
    </xdr:from>
    <xdr:to>
      <xdr:col>11</xdr:col>
      <xdr:colOff>739588</xdr:colOff>
      <xdr:row>191</xdr:row>
      <xdr:rowOff>10085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2130136</xdr:colOff>
      <xdr:row>193</xdr:row>
      <xdr:rowOff>17318</xdr:rowOff>
    </xdr:from>
    <xdr:to>
      <xdr:col>10</xdr:col>
      <xdr:colOff>238125</xdr:colOff>
      <xdr:row>230</xdr:row>
      <xdr:rowOff>79358</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23</xdr:col>
      <xdr:colOff>142875</xdr:colOff>
      <xdr:row>35</xdr:row>
      <xdr:rowOff>140492</xdr:rowOff>
    </xdr:from>
    <xdr:to>
      <xdr:col>35</xdr:col>
      <xdr:colOff>71437</xdr:colOff>
      <xdr:row>74</xdr:row>
      <xdr:rowOff>47624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23</xdr:col>
      <xdr:colOff>0</xdr:colOff>
      <xdr:row>76</xdr:row>
      <xdr:rowOff>0</xdr:rowOff>
    </xdr:from>
    <xdr:to>
      <xdr:col>34</xdr:col>
      <xdr:colOff>933017</xdr:colOff>
      <xdr:row>114</xdr:row>
      <xdr:rowOff>97632</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23</xdr:col>
      <xdr:colOff>0</xdr:colOff>
      <xdr:row>115</xdr:row>
      <xdr:rowOff>0</xdr:rowOff>
    </xdr:from>
    <xdr:to>
      <xdr:col>34</xdr:col>
      <xdr:colOff>933017</xdr:colOff>
      <xdr:row>153</xdr:row>
      <xdr:rowOff>97632</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23</xdr:col>
      <xdr:colOff>0</xdr:colOff>
      <xdr:row>154</xdr:row>
      <xdr:rowOff>0</xdr:rowOff>
    </xdr:from>
    <xdr:to>
      <xdr:col>34</xdr:col>
      <xdr:colOff>933017</xdr:colOff>
      <xdr:row>192</xdr:row>
      <xdr:rowOff>97632</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OIL/GIS_GROUP/jgalzki/PhosphorusMPCA/Copy%20of%20PBMP_feb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Main"/>
      <sheetName val="HUC10"/>
      <sheetName val="P Export"/>
      <sheetName val="P_Index Scores"/>
      <sheetName val="Erosion"/>
      <sheetName val="Buffer"/>
      <sheetName val="Returns_Per_A"/>
      <sheetName val="Optimize"/>
      <sheetName val="Scenarios"/>
      <sheetName val="pwdsht"/>
      <sheetName val="Watersheds"/>
      <sheetName val="Watacresall"/>
      <sheetName val="Covercrop"/>
      <sheetName val="Parameters"/>
      <sheetName val="Fertilizer Rate"/>
      <sheetName val="Fertilizer Method"/>
      <sheetName val="STP"/>
      <sheetName val="Crop_codes"/>
      <sheetName val="Impl_select"/>
      <sheetName val="C_Drain"/>
      <sheetName val="Inlets"/>
      <sheetName val="Manure Method"/>
      <sheetName val="Manure Rate"/>
      <sheetName val="Cost data"/>
      <sheetName val="Runoff"/>
      <sheetName val="Revisions"/>
      <sheetName val="Workspace"/>
    </sheetNames>
    <sheetDataSet>
      <sheetData sheetId="0"/>
      <sheetData sheetId="1"/>
      <sheetData sheetId="2"/>
      <sheetData sheetId="3"/>
      <sheetData sheetId="4"/>
      <sheetData sheetId="5"/>
      <sheetData sheetId="6"/>
      <sheetData sheetId="7"/>
      <sheetData sheetId="8"/>
      <sheetData sheetId="9"/>
      <sheetData sheetId="10"/>
      <sheetData sheetId="11">
        <row r="38">
          <cell r="A38" t="str">
            <v>Statewide</v>
          </cell>
        </row>
        <row r="39">
          <cell r="A39" t="str">
            <v>Blue Earth River</v>
          </cell>
        </row>
        <row r="40">
          <cell r="A40" t="str">
            <v>Bois de Sioux River</v>
          </cell>
        </row>
        <row r="41">
          <cell r="A41" t="str">
            <v>Buffalo River</v>
          </cell>
        </row>
        <row r="42">
          <cell r="A42" t="str">
            <v>Cannon River</v>
          </cell>
        </row>
        <row r="43">
          <cell r="A43" t="str">
            <v>Cedar River</v>
          </cell>
        </row>
        <row r="44">
          <cell r="A44" t="str">
            <v>Chippewa River</v>
          </cell>
        </row>
        <row r="45">
          <cell r="A45" t="str">
            <v>Clearwater River</v>
          </cell>
        </row>
        <row r="46">
          <cell r="A46" t="str">
            <v>Cloquet River</v>
          </cell>
        </row>
        <row r="47">
          <cell r="A47" t="str">
            <v>Cottonwood River</v>
          </cell>
        </row>
        <row r="48">
          <cell r="A48" t="str">
            <v>Crow Wing River</v>
          </cell>
        </row>
        <row r="49">
          <cell r="A49" t="str">
            <v>Des Moines River - Headwaters</v>
          </cell>
        </row>
        <row r="50">
          <cell r="A50" t="str">
            <v>East Fork Des Moines River</v>
          </cell>
        </row>
        <row r="51">
          <cell r="A51" t="str">
            <v>Kettle River</v>
          </cell>
        </row>
        <row r="52">
          <cell r="A52" t="str">
            <v>Lac Qui Parle River</v>
          </cell>
        </row>
        <row r="53">
          <cell r="A53" t="str">
            <v>Lake Superior - South</v>
          </cell>
        </row>
        <row r="54">
          <cell r="A54" t="str">
            <v>Le Sueur River</v>
          </cell>
        </row>
        <row r="55">
          <cell r="A55" t="str">
            <v>Little Fork River</v>
          </cell>
        </row>
        <row r="56">
          <cell r="A56" t="str">
            <v>Little Sioux River</v>
          </cell>
        </row>
        <row r="57">
          <cell r="A57" t="str">
            <v>Long Prairie River</v>
          </cell>
        </row>
        <row r="58">
          <cell r="A58" t="str">
            <v>Lower Big Sioux River</v>
          </cell>
        </row>
        <row r="59">
          <cell r="A59" t="str">
            <v>Lower Des Moines River</v>
          </cell>
        </row>
        <row r="60">
          <cell r="A60" t="str">
            <v>Lower Minnesota River</v>
          </cell>
        </row>
        <row r="61">
          <cell r="A61" t="str">
            <v>Lower St. Croix River</v>
          </cell>
        </row>
        <row r="62">
          <cell r="A62" t="str">
            <v>Minnesota River - Headwaters</v>
          </cell>
        </row>
        <row r="63">
          <cell r="A63" t="str">
            <v>Minnesota River - Mankato</v>
          </cell>
        </row>
        <row r="64">
          <cell r="A64" t="str">
            <v>Minnesota River - Yellow Medicine River</v>
          </cell>
        </row>
        <row r="65">
          <cell r="A65" t="str">
            <v>Mississippi River - Brainerd</v>
          </cell>
        </row>
        <row r="66">
          <cell r="A66" t="str">
            <v>Mississippi River - Grand Rapids</v>
          </cell>
        </row>
        <row r="67">
          <cell r="A67" t="str">
            <v>Mississippi River - Headwaters</v>
          </cell>
        </row>
        <row r="68">
          <cell r="A68" t="str">
            <v>Mississippi River - La Crescent</v>
          </cell>
        </row>
        <row r="69">
          <cell r="A69" t="str">
            <v>Mississippi River - Lake Pepin</v>
          </cell>
        </row>
        <row r="70">
          <cell r="A70" t="str">
            <v>Mississippi River - Reno</v>
          </cell>
        </row>
        <row r="71">
          <cell r="A71" t="str">
            <v>Mississippi River - Sartell</v>
          </cell>
        </row>
        <row r="72">
          <cell r="A72" t="str">
            <v>Mississippi River - St. Cloud</v>
          </cell>
        </row>
        <row r="73">
          <cell r="A73" t="str">
            <v>Mississippi River - Twin Cities</v>
          </cell>
        </row>
        <row r="74">
          <cell r="A74" t="str">
            <v>Mississippi River - Winona</v>
          </cell>
        </row>
        <row r="75">
          <cell r="A75" t="str">
            <v>Mustinka River</v>
          </cell>
        </row>
        <row r="76">
          <cell r="A76" t="str">
            <v>Nemadji River</v>
          </cell>
        </row>
        <row r="77">
          <cell r="A77" t="str">
            <v>North Fork Crow River</v>
          </cell>
        </row>
        <row r="78">
          <cell r="A78" t="str">
            <v>Otter Tail River</v>
          </cell>
        </row>
        <row r="79">
          <cell r="A79" t="str">
            <v>Pine River</v>
          </cell>
        </row>
        <row r="80">
          <cell r="A80" t="str">
            <v>Pomme de Terre River</v>
          </cell>
        </row>
        <row r="81">
          <cell r="A81" t="str">
            <v>Red Lake River</v>
          </cell>
        </row>
        <row r="82">
          <cell r="A82" t="str">
            <v>Red River of the North - Grand Marais Creek</v>
          </cell>
        </row>
        <row r="83">
          <cell r="A83" t="str">
            <v>Red River of the North - Marsh River</v>
          </cell>
        </row>
        <row r="84">
          <cell r="A84" t="str">
            <v>Red River of the North - Sandhill River</v>
          </cell>
        </row>
        <row r="85">
          <cell r="A85" t="str">
            <v>Red River of the North - Tamarac River</v>
          </cell>
        </row>
        <row r="86">
          <cell r="A86" t="str">
            <v>Redeye River</v>
          </cell>
        </row>
        <row r="87">
          <cell r="A87" t="str">
            <v>Redwood River</v>
          </cell>
        </row>
        <row r="88">
          <cell r="A88" t="str">
            <v>Rock River</v>
          </cell>
        </row>
        <row r="89">
          <cell r="A89" t="str">
            <v>Root River</v>
          </cell>
        </row>
        <row r="90">
          <cell r="A90" t="str">
            <v>Rum River</v>
          </cell>
        </row>
        <row r="91">
          <cell r="A91" t="str">
            <v>Sauk River</v>
          </cell>
        </row>
        <row r="92">
          <cell r="A92" t="str">
            <v>Shell Rock River</v>
          </cell>
        </row>
        <row r="93">
          <cell r="A93" t="str">
            <v>Snake River</v>
          </cell>
        </row>
        <row r="94">
          <cell r="A94" t="str">
            <v>Snake River</v>
          </cell>
        </row>
        <row r="95">
          <cell r="A95" t="str">
            <v>South Fork Crow River</v>
          </cell>
        </row>
        <row r="96">
          <cell r="A96" t="str">
            <v>Thief River</v>
          </cell>
        </row>
        <row r="97">
          <cell r="A97" t="str">
            <v>Two Rivers</v>
          </cell>
        </row>
        <row r="98">
          <cell r="A98" t="str">
            <v>Upper Big Sioux River</v>
          </cell>
        </row>
        <row r="99">
          <cell r="A99" t="str">
            <v>Upper Iowa River</v>
          </cell>
        </row>
        <row r="100">
          <cell r="A100" t="str">
            <v>Upper Red River of the North</v>
          </cell>
        </row>
        <row r="101">
          <cell r="A101" t="str">
            <v>Upper St. Croix River</v>
          </cell>
        </row>
        <row r="102">
          <cell r="A102" t="str">
            <v>Upper Wapsipinicon River</v>
          </cell>
        </row>
        <row r="103">
          <cell r="A103" t="str">
            <v>Watonwan River</v>
          </cell>
        </row>
        <row r="104">
          <cell r="A104" t="str">
            <v>Wild Rice River</v>
          </cell>
        </row>
        <row r="105">
          <cell r="A105" t="str">
            <v>Winnebago River</v>
          </cell>
        </row>
        <row r="106">
          <cell r="A106" t="str">
            <v>Zumbro River</v>
          </cell>
        </row>
        <row r="107">
          <cell r="A107" t="str">
            <v>Mississippi Basin overall</v>
          </cell>
        </row>
        <row r="108">
          <cell r="A108" t="str">
            <v>Cedar River Basin</v>
          </cell>
        </row>
        <row r="109">
          <cell r="A109" t="str">
            <v>Des Moines River Basin</v>
          </cell>
        </row>
        <row r="110">
          <cell r="A110" t="str">
            <v>Lake Superior Basin</v>
          </cell>
        </row>
        <row r="111">
          <cell r="A111" t="str">
            <v>Lower Mississippi River Basin</v>
          </cell>
        </row>
        <row r="112">
          <cell r="A112" t="str">
            <v>Minnesota River Basin</v>
          </cell>
        </row>
        <row r="113">
          <cell r="A113" t="str">
            <v>Missouri River Basin</v>
          </cell>
        </row>
        <row r="114">
          <cell r="A114" t="str">
            <v>Rainy River Basin</v>
          </cell>
        </row>
        <row r="115">
          <cell r="A115" t="str">
            <v>Red River of the North Basin</v>
          </cell>
        </row>
        <row r="116">
          <cell r="A116" t="str">
            <v>St.  Croix River Basin</v>
          </cell>
        </row>
        <row r="117">
          <cell r="A117" t="str">
            <v>Upper Mississippi River Basin</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21"/>
  <sheetViews>
    <sheetView zoomScale="67" zoomScaleNormal="67" workbookViewId="0">
      <selection activeCell="C16" sqref="C16"/>
    </sheetView>
  </sheetViews>
  <sheetFormatPr defaultRowHeight="15" x14ac:dyDescent="0.25"/>
  <cols>
    <col min="1" max="1" width="52.5703125" style="83" customWidth="1"/>
    <col min="2" max="2" width="6" style="83" customWidth="1"/>
    <col min="3" max="3" width="70.5703125" style="83" customWidth="1"/>
    <col min="4" max="4" width="46.28515625" style="83" customWidth="1"/>
    <col min="5" max="5" width="7.28515625" style="83" customWidth="1"/>
    <col min="6" max="6" width="78" style="83" customWidth="1"/>
    <col min="7" max="16384" width="9.140625" style="83"/>
  </cols>
  <sheetData>
    <row r="1" spans="1:6" ht="23.25" x14ac:dyDescent="0.25">
      <c r="A1" s="141" t="s">
        <v>346</v>
      </c>
      <c r="B1" s="142"/>
      <c r="C1" s="142"/>
      <c r="D1" s="142"/>
      <c r="E1" s="142"/>
      <c r="F1" s="142"/>
    </row>
    <row r="2" spans="1:6" ht="35.25" customHeight="1" thickBot="1" x14ac:dyDescent="0.3">
      <c r="A2" s="138" t="s">
        <v>382</v>
      </c>
      <c r="B2" s="139"/>
      <c r="C2" s="139"/>
      <c r="D2" s="140"/>
      <c r="E2" s="140"/>
      <c r="F2" s="140"/>
    </row>
    <row r="3" spans="1:6" ht="30" customHeight="1" thickBot="1" x14ac:dyDescent="0.3">
      <c r="A3" s="157" t="s">
        <v>354</v>
      </c>
      <c r="B3" s="158"/>
      <c r="C3" s="158"/>
      <c r="D3" s="151" t="s">
        <v>355</v>
      </c>
      <c r="E3" s="152"/>
      <c r="F3" s="153"/>
    </row>
    <row r="4" spans="1:6" ht="17.25" customHeight="1" thickBot="1" x14ac:dyDescent="0.3">
      <c r="A4" s="149" t="s">
        <v>333</v>
      </c>
      <c r="B4" s="150"/>
      <c r="C4" s="150"/>
      <c r="D4" s="154" t="s">
        <v>339</v>
      </c>
      <c r="E4" s="155"/>
      <c r="F4" s="156"/>
    </row>
    <row r="5" spans="1:6" ht="15.75" customHeight="1" thickBot="1" x14ac:dyDescent="0.3">
      <c r="A5" s="91" t="s">
        <v>321</v>
      </c>
      <c r="B5" s="92" t="s">
        <v>340</v>
      </c>
      <c r="C5" s="104" t="s">
        <v>314</v>
      </c>
      <c r="D5" s="143" t="s">
        <v>373</v>
      </c>
      <c r="E5" s="144"/>
      <c r="F5" s="145"/>
    </row>
    <row r="6" spans="1:6" ht="71.25" customHeight="1" x14ac:dyDescent="0.25">
      <c r="A6" s="89" t="s">
        <v>48</v>
      </c>
      <c r="B6" s="89" t="s">
        <v>315</v>
      </c>
      <c r="C6" s="105" t="s">
        <v>317</v>
      </c>
      <c r="D6" s="146"/>
      <c r="E6" s="147"/>
      <c r="F6" s="148"/>
    </row>
    <row r="7" spans="1:6" ht="42.75" customHeight="1" x14ac:dyDescent="0.25">
      <c r="A7" s="84" t="s">
        <v>182</v>
      </c>
      <c r="B7" s="84" t="s">
        <v>316</v>
      </c>
      <c r="C7" s="106" t="s">
        <v>381</v>
      </c>
      <c r="D7" s="109" t="s">
        <v>321</v>
      </c>
      <c r="E7" s="109" t="s">
        <v>340</v>
      </c>
      <c r="F7" s="109" t="s">
        <v>314</v>
      </c>
    </row>
    <row r="8" spans="1:6" ht="81" customHeight="1" thickBot="1" x14ac:dyDescent="0.3">
      <c r="A8" s="87" t="s">
        <v>288</v>
      </c>
      <c r="B8" s="88" t="s">
        <v>318</v>
      </c>
      <c r="C8" s="107" t="s">
        <v>319</v>
      </c>
      <c r="D8" s="84" t="s">
        <v>341</v>
      </c>
      <c r="E8" s="84" t="s">
        <v>364</v>
      </c>
      <c r="F8" s="85" t="s">
        <v>374</v>
      </c>
    </row>
    <row r="9" spans="1:6" ht="45.75" thickBot="1" x14ac:dyDescent="0.3">
      <c r="A9" s="94" t="s">
        <v>328</v>
      </c>
      <c r="B9" s="92" t="s">
        <v>340</v>
      </c>
      <c r="C9" s="108" t="s">
        <v>314</v>
      </c>
      <c r="D9" s="102" t="s">
        <v>367</v>
      </c>
      <c r="E9" s="102" t="s">
        <v>366</v>
      </c>
      <c r="F9" s="103" t="s">
        <v>345</v>
      </c>
    </row>
    <row r="10" spans="1:6" ht="45" x14ac:dyDescent="0.25">
      <c r="A10" s="90" t="s">
        <v>189</v>
      </c>
      <c r="B10" s="89" t="s">
        <v>329</v>
      </c>
      <c r="C10" s="105" t="s">
        <v>330</v>
      </c>
      <c r="D10" s="102" t="s">
        <v>351</v>
      </c>
      <c r="E10" s="102" t="s">
        <v>368</v>
      </c>
      <c r="F10" s="103" t="s">
        <v>345</v>
      </c>
    </row>
    <row r="11" spans="1:6" ht="45.75" thickBot="1" x14ac:dyDescent="0.3">
      <c r="A11" s="87" t="s">
        <v>190</v>
      </c>
      <c r="B11" s="88" t="s">
        <v>332</v>
      </c>
      <c r="C11" s="107" t="s">
        <v>331</v>
      </c>
      <c r="D11" s="102" t="s">
        <v>352</v>
      </c>
      <c r="E11" s="102" t="s">
        <v>369</v>
      </c>
      <c r="F11" s="103" t="s">
        <v>345</v>
      </c>
    </row>
    <row r="12" spans="1:6" ht="45.75" thickBot="1" x14ac:dyDescent="0.3">
      <c r="A12" s="149" t="s">
        <v>334</v>
      </c>
      <c r="B12" s="150"/>
      <c r="C12" s="150"/>
      <c r="D12" s="84" t="s">
        <v>342</v>
      </c>
      <c r="E12" s="84" t="s">
        <v>370</v>
      </c>
      <c r="F12" s="85" t="s">
        <v>345</v>
      </c>
    </row>
    <row r="13" spans="1:6" ht="45.75" thickBot="1" x14ac:dyDescent="0.3">
      <c r="A13" s="91" t="s">
        <v>321</v>
      </c>
      <c r="B13" s="92" t="s">
        <v>340</v>
      </c>
      <c r="C13" s="104" t="s">
        <v>314</v>
      </c>
      <c r="D13" s="84" t="s">
        <v>343</v>
      </c>
      <c r="E13" s="84" t="s">
        <v>371</v>
      </c>
      <c r="F13" s="85" t="s">
        <v>345</v>
      </c>
    </row>
    <row r="14" spans="1:6" ht="67.5" customHeight="1" x14ac:dyDescent="0.25">
      <c r="A14" s="89" t="s">
        <v>269</v>
      </c>
      <c r="B14" s="89" t="s">
        <v>322</v>
      </c>
      <c r="C14" s="105" t="s">
        <v>323</v>
      </c>
      <c r="D14" s="84" t="s">
        <v>344</v>
      </c>
      <c r="E14" s="84" t="s">
        <v>372</v>
      </c>
      <c r="F14" s="85" t="s">
        <v>345</v>
      </c>
    </row>
    <row r="15" spans="1:6" ht="30" x14ac:dyDescent="0.25">
      <c r="A15" s="84" t="s">
        <v>324</v>
      </c>
      <c r="B15" s="84" t="s">
        <v>325</v>
      </c>
      <c r="C15" s="85" t="s">
        <v>326</v>
      </c>
    </row>
    <row r="16" spans="1:6" ht="90.75" thickBot="1" x14ac:dyDescent="0.3">
      <c r="A16" s="88" t="s">
        <v>229</v>
      </c>
      <c r="B16" s="88" t="s">
        <v>327</v>
      </c>
      <c r="C16" s="87" t="s">
        <v>398</v>
      </c>
    </row>
    <row r="17" spans="1:3" ht="16.5" thickBot="1" x14ac:dyDescent="0.3">
      <c r="A17" s="91" t="s">
        <v>328</v>
      </c>
      <c r="B17" s="92" t="s">
        <v>340</v>
      </c>
      <c r="C17" s="93" t="s">
        <v>314</v>
      </c>
    </row>
    <row r="18" spans="1:3" ht="60" x14ac:dyDescent="0.25">
      <c r="A18" s="89" t="s">
        <v>349</v>
      </c>
      <c r="B18" s="89" t="s">
        <v>335</v>
      </c>
      <c r="C18" s="90" t="s">
        <v>337</v>
      </c>
    </row>
    <row r="19" spans="1:3" ht="60" x14ac:dyDescent="0.25">
      <c r="A19" s="88" t="s">
        <v>273</v>
      </c>
      <c r="B19" s="88" t="s">
        <v>336</v>
      </c>
      <c r="C19" s="87" t="s">
        <v>338</v>
      </c>
    </row>
    <row r="20" spans="1:3" ht="33.75" customHeight="1" x14ac:dyDescent="0.25"/>
    <row r="21" spans="1:3" ht="105.75" customHeight="1" x14ac:dyDescent="0.25"/>
  </sheetData>
  <sheetProtection password="C2EC" sheet="1" objects="1" scenarios="1" selectLockedCells="1" selectUnlockedCells="1"/>
  <mergeCells count="8">
    <mergeCell ref="A2:F2"/>
    <mergeCell ref="A1:F1"/>
    <mergeCell ref="D5:F6"/>
    <mergeCell ref="A12:C12"/>
    <mergeCell ref="D3:F3"/>
    <mergeCell ref="D4:F4"/>
    <mergeCell ref="A3:C3"/>
    <mergeCell ref="A4:C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tint="-0.89999084444715716"/>
  </sheetPr>
  <dimension ref="A1:S34"/>
  <sheetViews>
    <sheetView workbookViewId="0">
      <selection activeCell="Z41" sqref="Z41"/>
    </sheetView>
  </sheetViews>
  <sheetFormatPr defaultRowHeight="15" x14ac:dyDescent="0.25"/>
  <cols>
    <col min="1" max="1" width="32.85546875" bestFit="1" customWidth="1"/>
    <col min="2" max="4" width="10.85546875" customWidth="1"/>
    <col min="5" max="7" width="11.85546875" customWidth="1"/>
    <col min="8" max="8" width="12.5703125" customWidth="1"/>
    <col min="9" max="9" width="11.7109375" customWidth="1"/>
    <col min="10" max="10" width="12.85546875" customWidth="1"/>
    <col min="11" max="12" width="13.5703125" customWidth="1"/>
    <col min="13" max="13" width="11.85546875" customWidth="1"/>
    <col min="14" max="19" width="14.28515625" customWidth="1"/>
  </cols>
  <sheetData>
    <row r="1" spans="1:19" x14ac:dyDescent="0.25">
      <c r="B1" s="186" t="s">
        <v>184</v>
      </c>
      <c r="C1" s="186"/>
      <c r="D1" s="186"/>
      <c r="E1" s="186"/>
      <c r="F1" s="186"/>
      <c r="G1" s="186"/>
      <c r="H1" s="186" t="s">
        <v>105</v>
      </c>
      <c r="I1" s="186"/>
      <c r="J1" s="186"/>
      <c r="K1" s="186"/>
      <c r="L1" s="186"/>
      <c r="M1" s="186"/>
      <c r="N1" s="186" t="s">
        <v>108</v>
      </c>
      <c r="O1" s="186"/>
      <c r="P1" s="186"/>
      <c r="Q1" s="186"/>
      <c r="R1" s="186"/>
      <c r="S1" s="186"/>
    </row>
    <row r="2" spans="1:19" x14ac:dyDescent="0.25">
      <c r="B2" s="186" t="s">
        <v>186</v>
      </c>
      <c r="C2" s="186"/>
      <c r="D2" s="186"/>
      <c r="E2" s="186" t="s">
        <v>187</v>
      </c>
      <c r="F2" s="186"/>
      <c r="G2" s="186"/>
      <c r="H2" s="186" t="s">
        <v>185</v>
      </c>
      <c r="I2" s="186"/>
      <c r="J2" s="186"/>
      <c r="K2" s="186" t="s">
        <v>188</v>
      </c>
      <c r="L2" s="186"/>
      <c r="M2" s="186"/>
      <c r="N2" s="186" t="s">
        <v>185</v>
      </c>
      <c r="O2" s="186"/>
      <c r="P2" s="186"/>
      <c r="Q2" s="186" t="s">
        <v>188</v>
      </c>
      <c r="R2" s="186"/>
      <c r="S2" s="186"/>
    </row>
    <row r="3" spans="1:19" s="47" customFormat="1" x14ac:dyDescent="0.25">
      <c r="A3" s="47" t="s">
        <v>48</v>
      </c>
      <c r="B3" s="47" t="s">
        <v>183</v>
      </c>
      <c r="C3" s="47" t="s">
        <v>0</v>
      </c>
      <c r="D3" s="47" t="s">
        <v>1</v>
      </c>
      <c r="E3" s="47" t="s">
        <v>183</v>
      </c>
      <c r="F3" s="47" t="s">
        <v>0</v>
      </c>
      <c r="G3" s="47" t="s">
        <v>1</v>
      </c>
      <c r="H3" s="47" t="s">
        <v>183</v>
      </c>
      <c r="I3" s="47" t="s">
        <v>0</v>
      </c>
      <c r="J3" s="47" t="s">
        <v>1</v>
      </c>
      <c r="K3" s="47" t="s">
        <v>183</v>
      </c>
      <c r="L3" s="47" t="s">
        <v>0</v>
      </c>
      <c r="M3" s="47" t="s">
        <v>1</v>
      </c>
      <c r="N3" s="47" t="s">
        <v>183</v>
      </c>
      <c r="O3" s="47" t="s">
        <v>0</v>
      </c>
      <c r="P3" s="47" t="s">
        <v>1</v>
      </c>
      <c r="Q3" s="47" t="s">
        <v>183</v>
      </c>
      <c r="R3" s="47" t="s">
        <v>0</v>
      </c>
      <c r="S3" s="47" t="s">
        <v>1</v>
      </c>
    </row>
    <row r="4" spans="1:19" x14ac:dyDescent="0.25">
      <c r="A4" t="s">
        <v>87</v>
      </c>
      <c r="B4" s="6">
        <f>'270 Baseline RESULTS'!B4</f>
        <v>2.3216250557950877</v>
      </c>
      <c r="C4">
        <f>'270 Baseline RESULTS'!D4</f>
        <v>2.08</v>
      </c>
      <c r="D4" s="6">
        <f>'270 Baseline RESULTS'!F4</f>
        <v>1.4034076578721861</v>
      </c>
      <c r="E4">
        <f>'270 Baseline RESULTS'!C4</f>
        <v>0.84299999999999997</v>
      </c>
      <c r="F4">
        <f>'270 Baseline RESULTS'!E4</f>
        <v>0.45099999999999996</v>
      </c>
      <c r="G4">
        <f>'270 Baseline RESULTS'!G4</f>
        <v>0.43899999999999995</v>
      </c>
      <c r="H4" s="6">
        <f>'270 Baseline RESULTS'!X4</f>
        <v>0.96207989754024403</v>
      </c>
      <c r="I4" s="6">
        <f>'270 Baseline RESULTS'!Z4</f>
        <v>0.86195063319489429</v>
      </c>
      <c r="J4" s="6">
        <f>'270 Baseline RESULTS'!AB4</f>
        <v>0.58157121121802624</v>
      </c>
      <c r="K4" s="6">
        <f>'270 Baseline RESULTS'!Y4</f>
        <v>0.18251207925333812</v>
      </c>
      <c r="L4" s="6">
        <f>'270 Baseline RESULTS'!AA4</f>
        <v>9.7642879885237788E-2</v>
      </c>
      <c r="M4" s="6">
        <f>'270 Baseline RESULTS'!AC4</f>
        <v>9.5044843169887816E-2</v>
      </c>
      <c r="N4" s="6">
        <f>'270 Baseline RESULTS'!AD4</f>
        <v>1.8386899921864472</v>
      </c>
      <c r="O4" s="6">
        <f>'270 Baseline RESULTS'!AF4</f>
        <v>1.6473268042147491</v>
      </c>
      <c r="P4" s="6">
        <f>'270 Baseline RESULTS'!AH4</f>
        <v>1.1114764673332185</v>
      </c>
      <c r="Q4" s="6">
        <f>'270 Baseline RESULTS'!AE4</f>
        <v>0.43565315801577009</v>
      </c>
      <c r="R4" s="6">
        <f>'270 Baseline RESULTS'!AG4</f>
        <v>0.23307185559325302</v>
      </c>
      <c r="S4" s="6">
        <f>'270 Baseline RESULTS'!AI4</f>
        <v>0.22687038715174737</v>
      </c>
    </row>
    <row r="5" spans="1:19" x14ac:dyDescent="0.25">
      <c r="A5" t="s">
        <v>19</v>
      </c>
      <c r="B5" s="6">
        <f>'270 Baseline RESULTS'!B5</f>
        <v>4.6168892442124712</v>
      </c>
      <c r="C5">
        <f>'270 Baseline RESULTS'!D5</f>
        <v>4.1399999999999997</v>
      </c>
      <c r="D5" s="6">
        <f>'270 Baseline RESULTS'!F5</f>
        <v>2.6312275414955963</v>
      </c>
      <c r="E5">
        <f>'270 Baseline RESULTS'!C5</f>
        <v>0.89800000000000002</v>
      </c>
      <c r="F5">
        <f>'270 Baseline RESULTS'!E5</f>
        <v>0.63100000000000001</v>
      </c>
      <c r="G5">
        <f>'270 Baseline RESULTS'!G5</f>
        <v>0.65700000000000003</v>
      </c>
      <c r="H5" s="6">
        <f>'270 Baseline RESULTS'!X5</f>
        <v>3.5523067459886937</v>
      </c>
      <c r="I5" s="6">
        <f>'270 Baseline RESULTS'!Z5</f>
        <v>3.1853807077630623</v>
      </c>
      <c r="J5" s="6">
        <f>'270 Baseline RESULTS'!AB5</f>
        <v>2.0245075962354844</v>
      </c>
      <c r="K5" s="6">
        <f>'270 Baseline RESULTS'!Y5</f>
        <v>0.37213060990818037</v>
      </c>
      <c r="L5" s="6">
        <f>'270 Baseline RESULTS'!AA5</f>
        <v>0.26148598535864342</v>
      </c>
      <c r="M5" s="6">
        <f>'270 Baseline RESULTS'!AC5</f>
        <v>0.27226036827357963</v>
      </c>
      <c r="N5" s="6">
        <f>'270 Baseline RESULTS'!AD5</f>
        <v>4.4407696521172859</v>
      </c>
      <c r="O5" s="6">
        <f>'270 Baseline RESULTS'!AF5</f>
        <v>3.9820722108098909</v>
      </c>
      <c r="P5" s="6">
        <f>'270 Baseline RESULTS'!AH5</f>
        <v>2.5308546070790445</v>
      </c>
      <c r="Q5" s="6">
        <f>'270 Baseline RESULTS'!AE5</f>
        <v>0.71120166835809839</v>
      </c>
      <c r="R5" s="6">
        <f>'270 Baseline RESULTS'!AG5</f>
        <v>0.4997419295478398</v>
      </c>
      <c r="S5" s="6">
        <f>'270 Baseline RESULTS'!AI5</f>
        <v>0.52033351460052413</v>
      </c>
    </row>
    <row r="6" spans="1:19" x14ac:dyDescent="0.25">
      <c r="A6" t="s">
        <v>20</v>
      </c>
      <c r="B6" s="6">
        <f>'270 Baseline RESULTS'!B6</f>
        <v>83.668249224423491</v>
      </c>
      <c r="C6">
        <f>'270 Baseline RESULTS'!D6</f>
        <v>68.47</v>
      </c>
      <c r="D6" s="6">
        <f>'270 Baseline RESULTS'!F6</f>
        <v>54.938114792946536</v>
      </c>
      <c r="E6">
        <f>'270 Baseline RESULTS'!C6</f>
        <v>7.141</v>
      </c>
      <c r="F6">
        <f>'270 Baseline RESULTS'!E6</f>
        <v>5.1070000000000002</v>
      </c>
      <c r="G6">
        <f>'270 Baseline RESULTS'!G6</f>
        <v>5.0540000000000003</v>
      </c>
      <c r="H6" s="6">
        <f>'270 Baseline RESULTS'!X6</f>
        <v>1.1597525700529587</v>
      </c>
      <c r="I6" s="6">
        <f>'270 Baseline RESULTS'!Z6</f>
        <v>0.94908473892562029</v>
      </c>
      <c r="J6" s="6">
        <f>'270 Baseline RESULTS'!AB6</f>
        <v>0.76151491653759962</v>
      </c>
      <c r="K6" s="6">
        <f>'270 Baseline RESULTS'!Y6</f>
        <v>9.8983702653247185E-2</v>
      </c>
      <c r="L6" s="6">
        <f>'270 Baseline RESULTS'!AA6</f>
        <v>7.0789773064015904E-2</v>
      </c>
      <c r="M6" s="6">
        <f>'270 Baseline RESULTS'!AC6</f>
        <v>7.0055122981306894E-2</v>
      </c>
      <c r="N6" s="6">
        <f>'270 Baseline RESULTS'!AD6</f>
        <v>3.3026781901708091</v>
      </c>
      <c r="O6" s="6">
        <f>'270 Baseline RESULTS'!AF6</f>
        <v>2.7027501803513871</v>
      </c>
      <c r="P6" s="6">
        <f>'270 Baseline RESULTS'!AH6</f>
        <v>2.1685993816971134</v>
      </c>
      <c r="Q6" s="6">
        <f>'270 Baseline RESULTS'!AE6</f>
        <v>0.28188022546939173</v>
      </c>
      <c r="R6" s="6">
        <f>'270 Baseline RESULTS'!AG6</f>
        <v>0.20159113730180422</v>
      </c>
      <c r="S6" s="6">
        <f>'270 Baseline RESULTS'!AI6</f>
        <v>0.19949904208406455</v>
      </c>
    </row>
    <row r="7" spans="1:19" x14ac:dyDescent="0.25">
      <c r="A7" t="s">
        <v>21</v>
      </c>
      <c r="B7" s="6">
        <f>'270 Baseline RESULTS'!B7</f>
        <v>4.3049020286303765</v>
      </c>
      <c r="C7">
        <f>'270 Baseline RESULTS'!D7</f>
        <v>4.05</v>
      </c>
      <c r="D7" s="6">
        <f>'270 Baseline RESULTS'!F7</f>
        <v>2.8020044995700402</v>
      </c>
      <c r="E7">
        <f>'270 Baseline RESULTS'!C7</f>
        <v>0.98599999999999999</v>
      </c>
      <c r="F7">
        <f>'270 Baseline RESULTS'!E7</f>
        <v>0.58399999999999996</v>
      </c>
      <c r="G7">
        <f>'270 Baseline RESULTS'!G7</f>
        <v>0.57699999999999996</v>
      </c>
      <c r="H7" s="6">
        <f>'270 Baseline RESULTS'!X7</f>
        <v>1.7839485718365089</v>
      </c>
      <c r="I7" s="6">
        <f>'270 Baseline RESULTS'!Z7</f>
        <v>1.678317338672751</v>
      </c>
      <c r="J7" s="6">
        <f>'270 Baseline RESULTS'!AB7</f>
        <v>1.1611488233746823</v>
      </c>
      <c r="K7" s="6">
        <f>'270 Baseline RESULTS'!Y7</f>
        <v>0.21347201677792571</v>
      </c>
      <c r="L7" s="6">
        <f>'270 Baseline RESULTS'!AA7</f>
        <v>0.12643778681370044</v>
      </c>
      <c r="M7" s="6">
        <f>'270 Baseline RESULTS'!AC7</f>
        <v>0.12492226539641288</v>
      </c>
      <c r="N7" s="6">
        <f>'270 Baseline RESULTS'!AD7</f>
        <v>3.4094137025390716</v>
      </c>
      <c r="O7" s="6">
        <f>'270 Baseline RESULTS'!AF7</f>
        <v>3.2075353639758335</v>
      </c>
      <c r="P7" s="6">
        <f>'270 Baseline RESULTS'!AH7</f>
        <v>2.2191428450346451</v>
      </c>
      <c r="Q7" s="6">
        <f>'270 Baseline RESULTS'!AE7</f>
        <v>0.5095539902770454</v>
      </c>
      <c r="R7" s="6">
        <f>'270 Baseline RESULTS'!AG7</f>
        <v>0.30180479748660699</v>
      </c>
      <c r="S7" s="6">
        <f>'270 Baseline RESULTS'!AI7</f>
        <v>0.29818727422906205</v>
      </c>
    </row>
    <row r="8" spans="1:19" x14ac:dyDescent="0.25">
      <c r="A8" t="s">
        <v>22</v>
      </c>
      <c r="B8" s="6">
        <f>'270 Baseline RESULTS'!B8</f>
        <v>9.3816830140840519</v>
      </c>
      <c r="C8">
        <f>'270 Baseline RESULTS'!D8</f>
        <v>7.03</v>
      </c>
      <c r="D8" s="6">
        <f>'270 Baseline RESULTS'!F8</f>
        <v>5.1079674848032308</v>
      </c>
      <c r="E8">
        <f>'270 Baseline RESULTS'!C8</f>
        <v>1.0009999999999999</v>
      </c>
      <c r="F8">
        <f>'270 Baseline RESULTS'!E8</f>
        <v>0.61599999999999999</v>
      </c>
      <c r="G8">
        <f>'270 Baseline RESULTS'!G8</f>
        <v>0.6</v>
      </c>
      <c r="H8" s="6">
        <f>'270 Baseline RESULTS'!X8</f>
        <v>1.0532634077906842</v>
      </c>
      <c r="I8" s="6">
        <f>'270 Baseline RESULTS'!Z8</f>
        <v>0.78924450396082957</v>
      </c>
      <c r="J8" s="6">
        <f>'270 Baseline RESULTS'!AB8</f>
        <v>0.5734616306958138</v>
      </c>
      <c r="K8" s="6">
        <f>'270 Baseline RESULTS'!Y8</f>
        <v>6.9744673114806477E-2</v>
      </c>
      <c r="L8" s="6">
        <f>'270 Baseline RESULTS'!AA8</f>
        <v>4.2919798839880841E-2</v>
      </c>
      <c r="M8" s="6">
        <f>'270 Baseline RESULTS'!AC8</f>
        <v>4.1804998870013876E-2</v>
      </c>
      <c r="N8" s="6">
        <f>'270 Baseline RESULTS'!AD8</f>
        <v>2.8239996686792086</v>
      </c>
      <c r="O8" s="6">
        <f>'270 Baseline RESULTS'!AF8</f>
        <v>2.1161147355982255</v>
      </c>
      <c r="P8" s="6">
        <f>'270 Baseline RESULTS'!AH8</f>
        <v>1.5375597814436306</v>
      </c>
      <c r="Q8" s="6">
        <f>'270 Baseline RESULTS'!AE8</f>
        <v>0.17764943902506258</v>
      </c>
      <c r="R8" s="6">
        <f>'270 Baseline RESULTS'!AG8</f>
        <v>0.10932273170773088</v>
      </c>
      <c r="S8" s="6">
        <f>'270 Baseline RESULTS'!AI8</f>
        <v>0.10648318023480274</v>
      </c>
    </row>
    <row r="9" spans="1:19" x14ac:dyDescent="0.25">
      <c r="A9" t="s">
        <v>23</v>
      </c>
      <c r="B9" s="6">
        <f>'270 Baseline RESULTS'!B9</f>
        <v>2.5805381408189083</v>
      </c>
      <c r="C9">
        <f>'270 Baseline RESULTS'!D9</f>
        <v>2.4300000000000002</v>
      </c>
      <c r="D9" s="6">
        <f>'270 Baseline RESULTS'!F9</f>
        <v>1.5948022294521682</v>
      </c>
      <c r="E9">
        <f>'270 Baseline RESULTS'!C9</f>
        <v>1.107</v>
      </c>
      <c r="F9">
        <f>'270 Baseline RESULTS'!E9</f>
        <v>0.54299999999999993</v>
      </c>
      <c r="G9">
        <f>'270 Baseline RESULTS'!G9</f>
        <v>0.48299999999999998</v>
      </c>
      <c r="H9" s="6">
        <f>'270 Baseline RESULTS'!X9</f>
        <v>2.5805381408189083</v>
      </c>
      <c r="I9" s="6">
        <f>'270 Baseline RESULTS'!Z9</f>
        <v>2.4300000000000002</v>
      </c>
      <c r="J9" s="6">
        <f>'270 Baseline RESULTS'!AB9</f>
        <v>1.5948022294521682</v>
      </c>
      <c r="K9" s="6">
        <f>'270 Baseline RESULTS'!Y9</f>
        <v>0.85174310229316674</v>
      </c>
      <c r="L9" s="6">
        <f>'270 Baseline RESULTS'!AA9</f>
        <v>0.41779268703269146</v>
      </c>
      <c r="M9" s="6">
        <f>'270 Baseline RESULTS'!AC9</f>
        <v>0.37162774923902397</v>
      </c>
      <c r="N9" s="6">
        <f>'270 Baseline RESULTS'!AD9</f>
        <v>2.5805381408189083</v>
      </c>
      <c r="O9" s="6">
        <f>'270 Baseline RESULTS'!AF9</f>
        <v>2.4300000000000002</v>
      </c>
      <c r="P9" s="6">
        <f>'270 Baseline RESULTS'!AH9</f>
        <v>1.5948022294521682</v>
      </c>
      <c r="Q9" s="6">
        <f>'270 Baseline RESULTS'!AE9</f>
        <v>1.0647714824556882</v>
      </c>
      <c r="R9" s="6">
        <f>'270 Baseline RESULTS'!AG9</f>
        <v>0.52228628272216682</v>
      </c>
      <c r="S9" s="6">
        <f>'270 Baseline RESULTS'!AI9</f>
        <v>0.46457509126115398</v>
      </c>
    </row>
    <row r="10" spans="1:19" x14ac:dyDescent="0.25">
      <c r="A10" t="s">
        <v>88</v>
      </c>
      <c r="B10" s="6">
        <f>'270 Baseline RESULTS'!B10</f>
        <v>5.4453685107067944</v>
      </c>
      <c r="C10">
        <f>'270 Baseline RESULTS'!D10</f>
        <v>4.21</v>
      </c>
      <c r="D10" s="6">
        <f>'270 Baseline RESULTS'!F10</f>
        <v>2.9470439499504772</v>
      </c>
      <c r="E10">
        <f>'270 Baseline RESULTS'!C10</f>
        <v>0.69400000000000006</v>
      </c>
      <c r="F10">
        <f>'270 Baseline RESULTS'!E10</f>
        <v>0.39600000000000002</v>
      </c>
      <c r="G10">
        <f>'270 Baseline RESULTS'!G10</f>
        <v>0.38500000000000001</v>
      </c>
      <c r="H10" s="6">
        <f>'270 Baseline RESULTS'!X10</f>
        <v>1.178938943285587</v>
      </c>
      <c r="I10" s="6">
        <f>'270 Baseline RESULTS'!Z10</f>
        <v>0.91147788096862792</v>
      </c>
      <c r="J10" s="6">
        <f>'270 Baseline RESULTS'!AB10</f>
        <v>0.63804403197678772</v>
      </c>
      <c r="K10" s="6">
        <f>'270 Baseline RESULTS'!Y10</f>
        <v>7.7914037802107483E-2</v>
      </c>
      <c r="L10" s="6">
        <f>'270 Baseline RESULTS'!AA10</f>
        <v>4.4458154134920103E-2</v>
      </c>
      <c r="M10" s="6">
        <f>'270 Baseline RESULTS'!AC10</f>
        <v>4.3223205408950138E-2</v>
      </c>
      <c r="N10" s="6">
        <f>'270 Baseline RESULTS'!AD10</f>
        <v>2.8141067476263886</v>
      </c>
      <c r="O10" s="6">
        <f>'270 Baseline RESULTS'!AF10</f>
        <v>2.1756818448948896</v>
      </c>
      <c r="P10" s="6">
        <f>'270 Baseline RESULTS'!AH10</f>
        <v>1.5230000042789971</v>
      </c>
      <c r="Q10" s="6">
        <f>'270 Baseline RESULTS'!AE10</f>
        <v>0.20890236507897136</v>
      </c>
      <c r="R10" s="6">
        <f>'270 Baseline RESULTS'!AG10</f>
        <v>0.11920077315745342</v>
      </c>
      <c r="S10" s="6">
        <f>'270 Baseline RESULTS'!AI10</f>
        <v>0.11588964056974638</v>
      </c>
    </row>
    <row r="11" spans="1:19" x14ac:dyDescent="0.25">
      <c r="A11" t="s">
        <v>89</v>
      </c>
      <c r="B11" s="6">
        <f>'270 Baseline RESULTS'!B11</f>
        <v>5.8829573079627666</v>
      </c>
      <c r="C11">
        <f>'270 Baseline RESULTS'!D11</f>
        <v>5.01</v>
      </c>
      <c r="D11" s="6">
        <f>'270 Baseline RESULTS'!F11</f>
        <v>3.3771206563155802</v>
      </c>
      <c r="E11">
        <f>'270 Baseline RESULTS'!C11</f>
        <v>0.89700000000000002</v>
      </c>
      <c r="F11">
        <f>'270 Baseline RESULTS'!E11</f>
        <v>0.51400000000000001</v>
      </c>
      <c r="G11">
        <f>'270 Baseline RESULTS'!G11</f>
        <v>0.503</v>
      </c>
      <c r="H11" s="6">
        <f>'270 Baseline RESULTS'!X11</f>
        <v>1.2736782567436595</v>
      </c>
      <c r="I11" s="6">
        <f>'270 Baseline RESULTS'!Z11</f>
        <v>1.0846803286586284</v>
      </c>
      <c r="J11" s="6">
        <f>'270 Baseline RESULTS'!AB11</f>
        <v>0.73115695477289977</v>
      </c>
      <c r="K11" s="6">
        <f>'270 Baseline RESULTS'!Y11</f>
        <v>0.10070445519955384</v>
      </c>
      <c r="L11" s="6">
        <f>'270 Baseline RESULTS'!AA11</f>
        <v>5.770578592259834E-2</v>
      </c>
      <c r="M11" s="6">
        <f>'270 Baseline RESULTS'!AC11</f>
        <v>5.6470837196628321E-2</v>
      </c>
      <c r="N11" s="6">
        <f>'270 Baseline RESULTS'!AD11</f>
        <v>3.0402478406713316</v>
      </c>
      <c r="O11" s="6">
        <f>'270 Baseline RESULTS'!AF11</f>
        <v>2.5891130743285977</v>
      </c>
      <c r="P11" s="6">
        <f>'270 Baseline RESULTS'!AH11</f>
        <v>1.7452589311081526</v>
      </c>
      <c r="Q11" s="6">
        <f>'270 Baseline RESULTS'!AE11</f>
        <v>0.27000781192483758</v>
      </c>
      <c r="R11" s="6">
        <f>'270 Baseline RESULTS'!AG11</f>
        <v>0.1547201954619471</v>
      </c>
      <c r="S11" s="6">
        <f>'270 Baseline RESULTS'!AI11</f>
        <v>0.15140906287424005</v>
      </c>
    </row>
    <row r="12" spans="1:19" x14ac:dyDescent="0.25">
      <c r="A12" t="s">
        <v>26</v>
      </c>
      <c r="B12" s="6">
        <f>'270 Baseline RESULTS'!B12</f>
        <v>4.585961134098115</v>
      </c>
      <c r="C12">
        <f>'270 Baseline RESULTS'!D12</f>
        <v>4.3899999999999997</v>
      </c>
      <c r="D12" s="6">
        <f>'270 Baseline RESULTS'!F12</f>
        <v>3.643883915453396</v>
      </c>
      <c r="E12">
        <f>'270 Baseline RESULTS'!C12</f>
        <v>0.84499999999999997</v>
      </c>
      <c r="F12">
        <f>'270 Baseline RESULTS'!E12</f>
        <v>0.47199999999999998</v>
      </c>
      <c r="G12">
        <f>'270 Baseline RESULTS'!G12</f>
        <v>0.47699999999999998</v>
      </c>
      <c r="H12" s="6">
        <f>'270 Baseline RESULTS'!X12</f>
        <v>0.51485698726385642</v>
      </c>
      <c r="I12" s="6">
        <f>'270 Baseline RESULTS'!Z12</f>
        <v>0.49285680972802837</v>
      </c>
      <c r="J12" s="6">
        <f>'270 Baseline RESULTS'!AB12</f>
        <v>0.40909179990652333</v>
      </c>
      <c r="K12" s="6">
        <f>'270 Baseline RESULTS'!Y12</f>
        <v>5.8875373408602827E-2</v>
      </c>
      <c r="L12" s="6">
        <f>'270 Baseline RESULTS'!AA12</f>
        <v>3.2886599111077552E-2</v>
      </c>
      <c r="M12" s="6">
        <f>'270 Baseline RESULTS'!AC12</f>
        <v>3.3234974101660986E-2</v>
      </c>
      <c r="N12" s="6">
        <f>'270 Baseline RESULTS'!AD12</f>
        <v>1.3804295779154723</v>
      </c>
      <c r="O12" s="6">
        <f>'270 Baseline RESULTS'!AF12</f>
        <v>1.3214429145485362</v>
      </c>
      <c r="P12" s="6">
        <f>'270 Baseline RESULTS'!AH12</f>
        <v>1.0968529798435691</v>
      </c>
      <c r="Q12" s="6">
        <f>'270 Baseline RESULTS'!AE12</f>
        <v>0.14996381216401389</v>
      </c>
      <c r="R12" s="6">
        <f>'270 Baseline RESULTS'!AG12</f>
        <v>8.3766768451378149E-2</v>
      </c>
      <c r="S12" s="6">
        <f>'270 Baseline RESULTS'!AI12</f>
        <v>8.4654128286668184E-2</v>
      </c>
    </row>
    <row r="13" spans="1:19" x14ac:dyDescent="0.25">
      <c r="A13" t="s">
        <v>27</v>
      </c>
      <c r="B13" s="6">
        <f>'270 Baseline RESULTS'!B13</f>
        <v>8.5021079033990983</v>
      </c>
      <c r="C13">
        <f>'270 Baseline RESULTS'!D13</f>
        <v>6.16</v>
      </c>
      <c r="D13" s="6">
        <f>'270 Baseline RESULTS'!F13</f>
        <v>4.5662405837813997</v>
      </c>
      <c r="E13">
        <f>'270 Baseline RESULTS'!C13</f>
        <v>0.91700000000000004</v>
      </c>
      <c r="F13">
        <f>'270 Baseline RESULTS'!E13</f>
        <v>0.54900000000000004</v>
      </c>
      <c r="G13">
        <f>'270 Baseline RESULTS'!G13</f>
        <v>0.53800000000000003</v>
      </c>
      <c r="H13" s="6">
        <f>'270 Baseline RESULTS'!X13</f>
        <v>0.95451521121474681</v>
      </c>
      <c r="I13" s="6">
        <f>'270 Baseline RESULTS'!Z13</f>
        <v>0.69157128654320221</v>
      </c>
      <c r="J13" s="6">
        <f>'270 Baseline RESULTS'!AB13</f>
        <v>0.5126429992193966</v>
      </c>
      <c r="K13" s="6">
        <f>'270 Baseline RESULTS'!Y13</f>
        <v>6.3891973273004554E-2</v>
      </c>
      <c r="L13" s="6">
        <f>'270 Baseline RESULTS'!AA13</f>
        <v>3.8251573966062713E-2</v>
      </c>
      <c r="M13" s="6">
        <f>'270 Baseline RESULTS'!AC13</f>
        <v>3.7485148986779127E-2</v>
      </c>
      <c r="N13" s="6">
        <f>'270 Baseline RESULTS'!AD13</f>
        <v>2.5592369584678476</v>
      </c>
      <c r="O13" s="6">
        <f>'270 Baseline RESULTS'!AF13</f>
        <v>1.854234249115942</v>
      </c>
      <c r="P13" s="6">
        <f>'270 Baseline RESULTS'!AH13</f>
        <v>1.3744934545699095</v>
      </c>
      <c r="Q13" s="6">
        <f>'270 Baseline RESULTS'!AE13</f>
        <v>0.16274179379219023</v>
      </c>
      <c r="R13" s="6">
        <f>'270 Baseline RESULTS'!AG13</f>
        <v>9.7432109914844522E-2</v>
      </c>
      <c r="S13" s="6">
        <f>'270 Baseline RESULTS'!AI13</f>
        <v>9.5479918277206477E-2</v>
      </c>
    </row>
    <row r="14" spans="1:19" x14ac:dyDescent="0.25">
      <c r="A14" t="s">
        <v>28</v>
      </c>
      <c r="B14" s="6">
        <f>'270 Baseline RESULTS'!B14</f>
        <v>1.2347843910974303</v>
      </c>
      <c r="C14">
        <f>'270 Baseline RESULTS'!D14</f>
        <v>1.23</v>
      </c>
      <c r="D14" s="6">
        <f>'270 Baseline RESULTS'!F14</f>
        <v>1.1979283583795115</v>
      </c>
      <c r="E14">
        <f>'270 Baseline RESULTS'!C14</f>
        <v>0.38200000000000001</v>
      </c>
      <c r="F14">
        <f>'270 Baseline RESULTS'!E14</f>
        <v>0.16999999999999998</v>
      </c>
      <c r="G14">
        <f>'270 Baseline RESULTS'!G14</f>
        <v>0.185</v>
      </c>
      <c r="H14" s="6">
        <f>'270 Baseline RESULTS'!X14</f>
        <v>1.2347843910974303</v>
      </c>
      <c r="I14" s="6">
        <f>'270 Baseline RESULTS'!Z14</f>
        <v>1.23</v>
      </c>
      <c r="J14" s="6">
        <f>'270 Baseline RESULTS'!AB14</f>
        <v>1.1979283583795115</v>
      </c>
      <c r="K14" s="6">
        <f>'270 Baseline RESULTS'!Y14</f>
        <v>0.29391677061968358</v>
      </c>
      <c r="L14" s="6">
        <f>'270 Baseline RESULTS'!AA14</f>
        <v>0.13080065708205812</v>
      </c>
      <c r="M14" s="6">
        <f>'270 Baseline RESULTS'!AC14</f>
        <v>0.14234189153047502</v>
      </c>
      <c r="N14" s="6">
        <f>'270 Baseline RESULTS'!AD14</f>
        <v>1.2347843910974303</v>
      </c>
      <c r="O14" s="6">
        <f>'270 Baseline RESULTS'!AF14</f>
        <v>1.23</v>
      </c>
      <c r="P14" s="6">
        <f>'270 Baseline RESULTS'!AH14</f>
        <v>1.1979283583795115</v>
      </c>
      <c r="Q14" s="6">
        <f>'270 Baseline RESULTS'!AE14</f>
        <v>0.3674279189684489</v>
      </c>
      <c r="R14" s="6">
        <f>'270 Baseline RESULTS'!AG14</f>
        <v>0.16351504247286991</v>
      </c>
      <c r="S14" s="6">
        <f>'270 Baseline RESULTS'!AI14</f>
        <v>0.17794284033812316</v>
      </c>
    </row>
    <row r="15" spans="1:19" x14ac:dyDescent="0.25">
      <c r="A15" t="s">
        <v>29</v>
      </c>
      <c r="B15" s="6">
        <f>'270 Baseline RESULTS'!B15</f>
        <v>6.5577265078627072</v>
      </c>
      <c r="C15">
        <f>'270 Baseline RESULTS'!D15</f>
        <v>5.24</v>
      </c>
      <c r="D15" s="6">
        <f>'270 Baseline RESULTS'!F15</f>
        <v>3.5188055510556269</v>
      </c>
      <c r="E15">
        <f>'270 Baseline RESULTS'!C15</f>
        <v>0.98299999999999998</v>
      </c>
      <c r="F15">
        <f>'270 Baseline RESULTS'!E15</f>
        <v>0.52800000000000002</v>
      </c>
      <c r="G15">
        <f>'270 Baseline RESULTS'!G15</f>
        <v>0.496</v>
      </c>
      <c r="H15" s="6">
        <f>'270 Baseline RESULTS'!X15</f>
        <v>1.4197678530542754</v>
      </c>
      <c r="I15" s="6">
        <f>'270 Baseline RESULTS'!Z15</f>
        <v>1.1344760323695038</v>
      </c>
      <c r="J15" s="6">
        <f>'270 Baseline RESULTS'!AB15</f>
        <v>0.76183216798499487</v>
      </c>
      <c r="K15" s="6">
        <f>'270 Baseline RESULTS'!Y15</f>
        <v>0.11035950887531942</v>
      </c>
      <c r="L15" s="6">
        <f>'270 Baseline RESULTS'!AA15</f>
        <v>5.9277538846560174E-2</v>
      </c>
      <c r="M15" s="6">
        <f>'270 Baseline RESULTS'!AC15</f>
        <v>5.5684960734647404E-2</v>
      </c>
      <c r="N15" s="6">
        <f>'270 Baseline RESULTS'!AD15</f>
        <v>3.3889611655446217</v>
      </c>
      <c r="O15" s="6">
        <f>'270 Baseline RESULTS'!AF15</f>
        <v>2.7079745527907892</v>
      </c>
      <c r="P15" s="6">
        <f>'270 Baseline RESULTS'!AH15</f>
        <v>1.8184801313888563</v>
      </c>
      <c r="Q15" s="6">
        <f>'270 Baseline RESULTS'!AE15</f>
        <v>0.2958948485196381</v>
      </c>
      <c r="R15" s="6">
        <f>'270 Baseline RESULTS'!AG15</f>
        <v>0.15893436420993784</v>
      </c>
      <c r="S15" s="6">
        <f>'270 Baseline RESULTS'!AI15</f>
        <v>0.14930197850024463</v>
      </c>
    </row>
    <row r="16" spans="1:19" x14ac:dyDescent="0.25">
      <c r="A16" t="s">
        <v>30</v>
      </c>
      <c r="B16" s="6">
        <f>'270 Baseline RESULTS'!B16</f>
        <v>2.1005395243899505</v>
      </c>
      <c r="C16">
        <f>'270 Baseline RESULTS'!D16</f>
        <v>2.08</v>
      </c>
      <c r="D16" s="6">
        <f>'270 Baseline RESULTS'!F16</f>
        <v>1.9462383465080284</v>
      </c>
      <c r="E16">
        <f>'270 Baseline RESULTS'!C16</f>
        <v>0.61599999999999999</v>
      </c>
      <c r="F16">
        <f>'270 Baseline RESULTS'!E16</f>
        <v>0.29700000000000004</v>
      </c>
      <c r="G16">
        <f>'270 Baseline RESULTS'!G16</f>
        <v>0.30399999999999999</v>
      </c>
      <c r="H16" s="6">
        <f>'270 Baseline RESULTS'!X16</f>
        <v>0.87046219860520191</v>
      </c>
      <c r="I16" s="6">
        <f>'270 Baseline RESULTS'!Z16</f>
        <v>0.86195063319489429</v>
      </c>
      <c r="J16" s="6">
        <f>'270 Baseline RESULTS'!AB16</f>
        <v>0.80651989188499007</v>
      </c>
      <c r="K16" s="6">
        <f>'270 Baseline RESULTS'!Y16</f>
        <v>0.13336588472130045</v>
      </c>
      <c r="L16" s="6">
        <f>'270 Baseline RESULTS'!AA16</f>
        <v>6.4301408704912716E-2</v>
      </c>
      <c r="M16" s="6">
        <f>'270 Baseline RESULTS'!AC16</f>
        <v>6.5816930122200218E-2</v>
      </c>
      <c r="N16" s="6">
        <f>'270 Baseline RESULTS'!AD16</f>
        <v>1.6635937797308011</v>
      </c>
      <c r="O16" s="6">
        <f>'270 Baseline RESULTS'!AF16</f>
        <v>1.6473268042147491</v>
      </c>
      <c r="P16" s="6">
        <f>'270 Baseline RESULTS'!AH16</f>
        <v>1.5413897094198403</v>
      </c>
      <c r="Q16" s="6">
        <f>'270 Baseline RESULTS'!AE16</f>
        <v>0.31834204666395538</v>
      </c>
      <c r="R16" s="6">
        <f>'270 Baseline RESULTS'!AG16</f>
        <v>0.15348634392726421</v>
      </c>
      <c r="S16" s="6">
        <f>'270 Baseline RESULTS'!AI16</f>
        <v>0.15710386718480915</v>
      </c>
    </row>
    <row r="17" spans="1:19" x14ac:dyDescent="0.25">
      <c r="A17" t="s">
        <v>90</v>
      </c>
      <c r="B17" s="6">
        <f>'270 Baseline RESULTS'!B17</f>
        <v>6.6632150657730485</v>
      </c>
      <c r="C17">
        <f>'270 Baseline RESULTS'!D17</f>
        <v>5.0199999999999996</v>
      </c>
      <c r="D17" s="6">
        <f>'270 Baseline RESULTS'!F17</f>
        <v>3.5451155362553388</v>
      </c>
      <c r="E17">
        <f>'270 Baseline RESULTS'!C17</f>
        <v>0.623</v>
      </c>
      <c r="F17">
        <f>'270 Baseline RESULTS'!E17</f>
        <v>0.437</v>
      </c>
      <c r="G17">
        <f>'270 Baseline RESULTS'!G17</f>
        <v>0.45</v>
      </c>
      <c r="H17" s="6">
        <f>'270 Baseline RESULTS'!X17</f>
        <v>2.7612319447388649</v>
      </c>
      <c r="I17" s="6">
        <f>'270 Baseline RESULTS'!Z17</f>
        <v>2.0802847012684467</v>
      </c>
      <c r="J17" s="6">
        <f>'270 Baseline RESULTS'!AB17</f>
        <v>1.4690935486655512</v>
      </c>
      <c r="K17" s="6">
        <f>'270 Baseline RESULTS'!Y17</f>
        <v>0.13488140613858796</v>
      </c>
      <c r="L17" s="6">
        <f>'270 Baseline RESULTS'!AA17</f>
        <v>9.4611837050662839E-2</v>
      </c>
      <c r="M17" s="6">
        <f>'270 Baseline RESULTS'!AC17</f>
        <v>9.7426376825625327E-2</v>
      </c>
      <c r="N17" s="6">
        <f>'270 Baseline RESULTS'!AD17</f>
        <v>5.2771599904305218</v>
      </c>
      <c r="O17" s="6">
        <f>'270 Baseline RESULTS'!AF17</f>
        <v>3.9757598832490579</v>
      </c>
      <c r="P17" s="6">
        <f>'270 Baseline RESULTS'!AH17</f>
        <v>2.8076749263997902</v>
      </c>
      <c r="Q17" s="6">
        <f>'270 Baseline RESULTS'!AE17</f>
        <v>0.32195956992150032</v>
      </c>
      <c r="R17" s="6">
        <f>'270 Baseline RESULTS'!AG17</f>
        <v>0.22583680907816314</v>
      </c>
      <c r="S17" s="6">
        <f>'270 Baseline RESULTS'!AI17</f>
        <v>0.23255506655646091</v>
      </c>
    </row>
    <row r="18" spans="1:19" x14ac:dyDescent="0.25">
      <c r="A18" t="s">
        <v>91</v>
      </c>
      <c r="B18" s="6">
        <f>'270 Baseline RESULTS'!B18</f>
        <v>3.0037559179361843</v>
      </c>
      <c r="C18">
        <f>'270 Baseline RESULTS'!D18</f>
        <v>2.84</v>
      </c>
      <c r="D18" s="6">
        <f>'270 Baseline RESULTS'!F18</f>
        <v>2.4157818096194306</v>
      </c>
      <c r="E18">
        <f>'270 Baseline RESULTS'!C18</f>
        <v>0.751</v>
      </c>
      <c r="F18">
        <f>'270 Baseline RESULTS'!E18</f>
        <v>0.33199999999999996</v>
      </c>
      <c r="G18">
        <f>'270 Baseline RESULTS'!G18</f>
        <v>0.309</v>
      </c>
      <c r="H18" s="6">
        <f>'270 Baseline RESULTS'!X18</f>
        <v>1.2447544785711564</v>
      </c>
      <c r="I18" s="6">
        <f>'270 Baseline RESULTS'!Z18</f>
        <v>1.1768941337853365</v>
      </c>
      <c r="J18" s="6">
        <f>'270 Baseline RESULTS'!AB18</f>
        <v>1.0010983944529692</v>
      </c>
      <c r="K18" s="6">
        <f>'270 Baseline RESULTS'!Y18</f>
        <v>0.16259379776898808</v>
      </c>
      <c r="L18" s="6">
        <f>'270 Baseline RESULTS'!AA18</f>
        <v>7.1879015791350254E-2</v>
      </c>
      <c r="M18" s="6">
        <f>'270 Baseline RESULTS'!AC18</f>
        <v>6.6899445420262715E-2</v>
      </c>
      <c r="N18" s="6">
        <f>'270 Baseline RESULTS'!AD18</f>
        <v>2.3789267485264207</v>
      </c>
      <c r="O18" s="6">
        <f>'270 Baseline RESULTS'!AF18</f>
        <v>2.249234674985523</v>
      </c>
      <c r="P18" s="6">
        <f>'270 Baseline RESULTS'!AH18</f>
        <v>1.9132606385194713</v>
      </c>
      <c r="Q18" s="6">
        <f>'270 Baseline RESULTS'!AE18</f>
        <v>0.38810856663089366</v>
      </c>
      <c r="R18" s="6">
        <f>'270 Baseline RESULTS'!AG18</f>
        <v>0.17157396021498891</v>
      </c>
      <c r="S18" s="6">
        <f>'270 Baseline RESULTS'!AI18</f>
        <v>0.1596878123687698</v>
      </c>
    </row>
    <row r="19" spans="1:19" x14ac:dyDescent="0.25">
      <c r="A19" t="s">
        <v>33</v>
      </c>
      <c r="B19" s="6">
        <f>'270 Baseline RESULTS'!B19</f>
        <v>17.543725422915319</v>
      </c>
      <c r="C19">
        <f>'270 Baseline RESULTS'!D19</f>
        <v>14.37</v>
      </c>
      <c r="D19" s="6">
        <f>'270 Baseline RESULTS'!F19</f>
        <v>11.076337433770142</v>
      </c>
      <c r="E19">
        <f>'270 Baseline RESULTS'!C19</f>
        <v>1.841</v>
      </c>
      <c r="F19">
        <f>'270 Baseline RESULTS'!E19</f>
        <v>1.1519999999999999</v>
      </c>
      <c r="G19">
        <f>'270 Baseline RESULTS'!G19</f>
        <v>1.1179999999999999</v>
      </c>
      <c r="H19" s="6">
        <f>'270 Baseline RESULTS'!X19</f>
        <v>0.24317923269738984</v>
      </c>
      <c r="I19" s="6">
        <f>'270 Baseline RESULTS'!Z19</f>
        <v>0.19918720167023807</v>
      </c>
      <c r="J19" s="6">
        <f>'270 Baseline RESULTS'!AB19</f>
        <v>0.15353268324203029</v>
      </c>
      <c r="K19" s="6">
        <f>'270 Baseline RESULTS'!Y19</f>
        <v>2.5518694382387519E-2</v>
      </c>
      <c r="L19" s="6">
        <f>'270 Baseline RESULTS'!AA19</f>
        <v>1.59682433071755E-2</v>
      </c>
      <c r="M19" s="6">
        <f>'270 Baseline RESULTS'!AC19</f>
        <v>1.5496958348456991E-2</v>
      </c>
      <c r="N19" s="6">
        <f>'270 Baseline RESULTS'!AD19</f>
        <v>0.6925121520493569</v>
      </c>
      <c r="O19" s="6">
        <f>'270 Baseline RESULTS'!AF19</f>
        <v>0.56723411847012351</v>
      </c>
      <c r="P19" s="6">
        <f>'270 Baseline RESULTS'!AH19</f>
        <v>0.43722174670300973</v>
      </c>
      <c r="Q19" s="6">
        <f>'270 Baseline RESULTS'!AE19</f>
        <v>7.2670703695441707E-2</v>
      </c>
      <c r="R19" s="6">
        <f>'270 Baseline RESULTS'!AG19</f>
        <v>4.5473465864828366E-2</v>
      </c>
      <c r="S19" s="6">
        <f>'270 Baseline RESULTS'!AI19</f>
        <v>4.4131367045901149E-2</v>
      </c>
    </row>
    <row r="20" spans="1:19" x14ac:dyDescent="0.25">
      <c r="A20" t="s">
        <v>34</v>
      </c>
      <c r="B20" s="6">
        <f>'270 Baseline RESULTS'!B20</f>
        <v>19.009705346657594</v>
      </c>
      <c r="C20">
        <f>'270 Baseline RESULTS'!D20</f>
        <v>16.21</v>
      </c>
      <c r="D20" s="6">
        <f>'270 Baseline RESULTS'!F20</f>
        <v>10.321275088122992</v>
      </c>
      <c r="E20">
        <f>'270 Baseline RESULTS'!C20</f>
        <v>2.5179999999999998</v>
      </c>
      <c r="F20">
        <f>'270 Baseline RESULTS'!E20</f>
        <v>1.7</v>
      </c>
      <c r="G20">
        <f>'270 Baseline RESULTS'!G20</f>
        <v>1.69</v>
      </c>
      <c r="H20" s="6">
        <f>'270 Baseline RESULTS'!X20</f>
        <v>4.1156593698834829</v>
      </c>
      <c r="I20" s="6">
        <f>'270 Baseline RESULTS'!Z20</f>
        <v>3.5095145963186365</v>
      </c>
      <c r="J20" s="6">
        <f>'270 Baseline RESULTS'!AB20</f>
        <v>2.23458763568091</v>
      </c>
      <c r="K20" s="6">
        <f>'270 Baseline RESULTS'!Y20</f>
        <v>0.28269099018113364</v>
      </c>
      <c r="L20" s="6">
        <f>'270 Baseline RESULTS'!AA20</f>
        <v>0.19085571219536401</v>
      </c>
      <c r="M20" s="6">
        <f>'270 Baseline RESULTS'!AC20</f>
        <v>0.18973303153539134</v>
      </c>
      <c r="N20" s="6">
        <f>'270 Baseline RESULTS'!AD20</f>
        <v>9.8240073158014827</v>
      </c>
      <c r="O20" s="6">
        <f>'270 Baseline RESULTS'!AF20</f>
        <v>8.3771502864005143</v>
      </c>
      <c r="P20" s="6">
        <f>'270 Baseline RESULTS'!AH20</f>
        <v>5.3339218112577429</v>
      </c>
      <c r="Q20" s="6">
        <f>'270 Baseline RESULTS'!AE20</f>
        <v>0.75794835053148391</v>
      </c>
      <c r="R20" s="6">
        <f>'270 Baseline RESULTS'!AG20</f>
        <v>0.5117204908274513</v>
      </c>
      <c r="S20" s="6">
        <f>'270 Baseline RESULTS'!AI20</f>
        <v>0.50871037029317234</v>
      </c>
    </row>
    <row r="21" spans="1:19" x14ac:dyDescent="0.25">
      <c r="A21" t="s">
        <v>92</v>
      </c>
      <c r="B21" s="6">
        <f>'270 Baseline RESULTS'!B21</f>
        <v>0.30383922534467556</v>
      </c>
      <c r="C21">
        <f>'270 Baseline RESULTS'!D21</f>
        <v>0.3</v>
      </c>
      <c r="D21" s="6">
        <f>'270 Baseline RESULTS'!F21</f>
        <v>0.27357280492596653</v>
      </c>
      <c r="E21">
        <f>'270 Baseline RESULTS'!C21</f>
        <v>0.39500000000000002</v>
      </c>
      <c r="F21">
        <f>'270 Baseline RESULTS'!E21</f>
        <v>0.13400000000000001</v>
      </c>
      <c r="G21">
        <f>'270 Baseline RESULTS'!G21</f>
        <v>0.126</v>
      </c>
      <c r="H21" s="6">
        <f>'270 Baseline RESULTS'!X21</f>
        <v>0.30383922534467556</v>
      </c>
      <c r="I21" s="6">
        <f>'270 Baseline RESULTS'!Z21</f>
        <v>0.3</v>
      </c>
      <c r="J21" s="6">
        <f>'270 Baseline RESULTS'!AB21</f>
        <v>0.27357280492596653</v>
      </c>
      <c r="K21" s="6">
        <f>'270 Baseline RESULTS'!Y21</f>
        <v>0.39500000000000002</v>
      </c>
      <c r="L21" s="6">
        <f>'270 Baseline RESULTS'!AA21</f>
        <v>0.13400000000000001</v>
      </c>
      <c r="M21" s="6">
        <f>'270 Baseline RESULTS'!AC21</f>
        <v>0.126</v>
      </c>
      <c r="N21" s="6">
        <f>'270 Baseline RESULTS'!AD21</f>
        <v>0.30383922534467556</v>
      </c>
      <c r="O21" s="6">
        <f>'270 Baseline RESULTS'!AF21</f>
        <v>0.3</v>
      </c>
      <c r="P21" s="6">
        <f>'270 Baseline RESULTS'!AH21</f>
        <v>0.27357280492596653</v>
      </c>
      <c r="Q21" s="6">
        <f>'270 Baseline RESULTS'!AE21</f>
        <v>0.39500000000000002</v>
      </c>
      <c r="R21" s="6">
        <f>'270 Baseline RESULTS'!AG21</f>
        <v>0.13400000000000001</v>
      </c>
      <c r="S21" s="6">
        <f>'270 Baseline RESULTS'!AI21</f>
        <v>0.126</v>
      </c>
    </row>
    <row r="22" spans="1:19" x14ac:dyDescent="0.25">
      <c r="A22" t="s">
        <v>36</v>
      </c>
      <c r="B22" s="6">
        <f>'270 Baseline RESULTS'!B22</f>
        <v>6.0007721097641387</v>
      </c>
      <c r="C22">
        <f>'270 Baseline RESULTS'!D22</f>
        <v>5.62</v>
      </c>
      <c r="D22" s="6">
        <f>'270 Baseline RESULTS'!F22</f>
        <v>3.7877295398443711</v>
      </c>
      <c r="E22">
        <f>'270 Baseline RESULTS'!C22</f>
        <v>1.0779999999999998</v>
      </c>
      <c r="F22">
        <f>'270 Baseline RESULTS'!E22</f>
        <v>0.65900000000000003</v>
      </c>
      <c r="G22">
        <f>'270 Baseline RESULTS'!G22</f>
        <v>0.65700000000000003</v>
      </c>
      <c r="H22" s="6">
        <f>'270 Baseline RESULTS'!X22</f>
        <v>0.67369507925359517</v>
      </c>
      <c r="I22" s="6">
        <f>'270 Baseline RESULTS'!Z22</f>
        <v>0.63094653090467467</v>
      </c>
      <c r="J22" s="6">
        <f>'270 Baseline RESULTS'!AB22</f>
        <v>0.42524106995906852</v>
      </c>
      <c r="K22" s="6">
        <f>'270 Baseline RESULTS'!Y22</f>
        <v>7.5109647969791471E-2</v>
      </c>
      <c r="L22" s="6">
        <f>'270 Baseline RESULTS'!AA22</f>
        <v>4.5915823758898577E-2</v>
      </c>
      <c r="M22" s="6">
        <f>'270 Baseline RESULTS'!AC22</f>
        <v>4.5776473762665137E-2</v>
      </c>
      <c r="N22" s="6">
        <f>'270 Baseline RESULTS'!AD22</f>
        <v>1.8063047349130503</v>
      </c>
      <c r="O22" s="6">
        <f>'270 Baseline RESULTS'!AF22</f>
        <v>1.6916877402648689</v>
      </c>
      <c r="P22" s="6">
        <f>'270 Baseline RESULTS'!AH22</f>
        <v>1.1401522466181166</v>
      </c>
      <c r="Q22" s="6">
        <f>'270 Baseline RESULTS'!AE22</f>
        <v>0.1913147804885289</v>
      </c>
      <c r="R22" s="6">
        <f>'270 Baseline RESULTS'!AG22</f>
        <v>0.11695402629122509</v>
      </c>
      <c r="S22" s="6">
        <f>'270 Baseline RESULTS'!AI22</f>
        <v>0.11659908235710903</v>
      </c>
    </row>
    <row r="23" spans="1:19" x14ac:dyDescent="0.25">
      <c r="A23" t="s">
        <v>37</v>
      </c>
      <c r="B23" s="6">
        <f>'270 Baseline RESULTS'!B23</f>
        <v>5.0459163142951384</v>
      </c>
      <c r="C23">
        <f>'270 Baseline RESULTS'!D23</f>
        <v>4.18</v>
      </c>
      <c r="D23" s="6">
        <f>'270 Baseline RESULTS'!F23</f>
        <v>2.6871532998901664</v>
      </c>
      <c r="E23">
        <f>'270 Baseline RESULTS'!C23</f>
        <v>0.8</v>
      </c>
      <c r="F23">
        <f>'270 Baseline RESULTS'!E23</f>
        <v>0.434</v>
      </c>
      <c r="G23">
        <f>'270 Baseline RESULTS'!G23</f>
        <v>0.41</v>
      </c>
      <c r="H23" s="6">
        <f>'270 Baseline RESULTS'!X23</f>
        <v>6.994307240825659E-2</v>
      </c>
      <c r="I23" s="6">
        <f>'270 Baseline RESULTS'!Z23</f>
        <v>5.7940327277772319E-2</v>
      </c>
      <c r="J23" s="6">
        <f>'270 Baseline RESULTS'!AB23</f>
        <v>3.7247498000283041E-2</v>
      </c>
      <c r="K23" s="6">
        <f>'270 Baseline RESULTS'!Y23</f>
        <v>1.1089057852205264E-2</v>
      </c>
      <c r="L23" s="6">
        <f>'270 Baseline RESULTS'!AA23</f>
        <v>6.0158138848213638E-3</v>
      </c>
      <c r="M23" s="6">
        <f>'270 Baseline RESULTS'!AC23</f>
        <v>5.6831421492551937E-3</v>
      </c>
      <c r="N23" s="6">
        <f>'270 Baseline RESULTS'!AD23</f>
        <v>0.1991799507594445</v>
      </c>
      <c r="O23" s="6">
        <f>'270 Baseline RESULTS'!AF23</f>
        <v>0.16499920773869992</v>
      </c>
      <c r="P23" s="6">
        <f>'270 Baseline RESULTS'!AH23</f>
        <v>0.10607133147232295</v>
      </c>
      <c r="Q23" s="6">
        <f>'270 Baseline RESULTS'!AE23</f>
        <v>3.1578795739464094E-2</v>
      </c>
      <c r="R23" s="6">
        <f>'270 Baseline RESULTS'!AG23</f>
        <v>1.7131496688659265E-2</v>
      </c>
      <c r="S23" s="6">
        <f>'270 Baseline RESULTS'!AI23</f>
        <v>1.618413281647535E-2</v>
      </c>
    </row>
    <row r="24" spans="1:19" x14ac:dyDescent="0.25">
      <c r="A24" t="s">
        <v>38</v>
      </c>
      <c r="B24" s="6">
        <f>'270 Baseline RESULTS'!B24</f>
        <v>18.404622578946785</v>
      </c>
      <c r="C24">
        <f>'270 Baseline RESULTS'!D24</f>
        <v>15.14</v>
      </c>
      <c r="D24" s="6">
        <f>'270 Baseline RESULTS'!F24</f>
        <v>10.36019254618888</v>
      </c>
      <c r="E24">
        <f>'270 Baseline RESULTS'!C24</f>
        <v>2.1559999999999997</v>
      </c>
      <c r="F24">
        <f>'270 Baseline RESULTS'!E24</f>
        <v>1.3439999999999999</v>
      </c>
      <c r="G24">
        <f>'270 Baseline RESULTS'!G24</f>
        <v>1.2689999999999999</v>
      </c>
      <c r="H24" s="6">
        <f>'270 Baseline RESULTS'!X24</f>
        <v>0.25511240565743165</v>
      </c>
      <c r="I24" s="6">
        <f>'270 Baseline RESULTS'!Z24</f>
        <v>0.2098604198529852</v>
      </c>
      <c r="J24" s="6">
        <f>'270 Baseline RESULTS'!AB24</f>
        <v>0.14360596813084392</v>
      </c>
      <c r="K24" s="6">
        <f>'270 Baseline RESULTS'!Y24</f>
        <v>2.9885010911693044E-2</v>
      </c>
      <c r="L24" s="6">
        <f>'270 Baseline RESULTS'!AA24</f>
        <v>1.8629617191704861E-2</v>
      </c>
      <c r="M24" s="6">
        <f>'270 Baseline RESULTS'!AC24</f>
        <v>1.7590018018060594E-2</v>
      </c>
      <c r="N24" s="6">
        <f>'270 Baseline RESULTS'!AD24</f>
        <v>0.72649477135311358</v>
      </c>
      <c r="O24" s="6">
        <f>'270 Baseline RESULTS'!AF24</f>
        <v>0.59762870936935819</v>
      </c>
      <c r="P24" s="6">
        <f>'270 Baseline RESULTS'!AH24</f>
        <v>0.40895300529702183</v>
      </c>
      <c r="Q24" s="6">
        <f>'270 Baseline RESULTS'!AE24</f>
        <v>8.5104854517855877E-2</v>
      </c>
      <c r="R24" s="6">
        <f>'270 Baseline RESULTS'!AG24</f>
        <v>5.3052376842299687E-2</v>
      </c>
      <c r="S24" s="6">
        <f>'270 Baseline RESULTS'!AI24</f>
        <v>5.0091864741725001E-2</v>
      </c>
    </row>
    <row r="25" spans="1:19" x14ac:dyDescent="0.25">
      <c r="A25" t="s">
        <v>39</v>
      </c>
      <c r="B25" s="6">
        <f>'270 Baseline RESULTS'!B25</f>
        <v>17.760281745417767</v>
      </c>
      <c r="C25">
        <f>'270 Baseline RESULTS'!D25</f>
        <v>14.88</v>
      </c>
      <c r="D25" s="6">
        <f>'270 Baseline RESULTS'!F25</f>
        <v>9.5380645926710006</v>
      </c>
      <c r="E25">
        <f>'270 Baseline RESULTS'!C25</f>
        <v>2.431</v>
      </c>
      <c r="F25">
        <f>'270 Baseline RESULTS'!E25</f>
        <v>1.659</v>
      </c>
      <c r="G25">
        <f>'270 Baseline RESULTS'!G25</f>
        <v>1.6440000000000001</v>
      </c>
      <c r="H25" s="6">
        <f>'270 Baseline RESULTS'!X25</f>
        <v>1.9939124831247259</v>
      </c>
      <c r="I25" s="6">
        <f>'270 Baseline RESULTS'!Z25</f>
        <v>1.6705488220394233</v>
      </c>
      <c r="J25" s="6">
        <f>'270 Baseline RESULTS'!AB25</f>
        <v>1.0708200651762407</v>
      </c>
      <c r="K25" s="6">
        <f>'270 Baseline RESULTS'!Y25</f>
        <v>0.16937992042167282</v>
      </c>
      <c r="L25" s="6">
        <f>'270 Baseline RESULTS'!AA25</f>
        <v>0.11559082187558833</v>
      </c>
      <c r="M25" s="6">
        <f>'270 Baseline RESULTS'!AC25</f>
        <v>0.11454569690383787</v>
      </c>
      <c r="N25" s="6">
        <f>'270 Baseline RESULTS'!AD25</f>
        <v>5.3460588776464739</v>
      </c>
      <c r="O25" s="6">
        <f>'270 Baseline RESULTS'!AF25</f>
        <v>4.4790593550073403</v>
      </c>
      <c r="P25" s="6">
        <f>'270 Baseline RESULTS'!AH25</f>
        <v>2.8710724087679642</v>
      </c>
      <c r="Q25" s="6">
        <f>'270 Baseline RESULTS'!AE25</f>
        <v>0.43143435191800927</v>
      </c>
      <c r="R25" s="6">
        <f>'270 Baseline RESULTS'!AG25</f>
        <v>0.2944259933492297</v>
      </c>
      <c r="S25" s="6">
        <f>'270 Baseline RESULTS'!AI25</f>
        <v>0.29176391384335965</v>
      </c>
    </row>
    <row r="26" spans="1:19" x14ac:dyDescent="0.25">
      <c r="A26" t="s">
        <v>40</v>
      </c>
      <c r="B26" s="6">
        <f>'270 Baseline RESULTS'!B26</f>
        <v>38.079705607546721</v>
      </c>
      <c r="C26">
        <f>'270 Baseline RESULTS'!D26</f>
        <v>31.13</v>
      </c>
      <c r="D26" s="6">
        <f>'270 Baseline RESULTS'!F26</f>
        <v>24.61431470359264</v>
      </c>
      <c r="E26">
        <f>'270 Baseline RESULTS'!C26</f>
        <v>3.4850000000000003</v>
      </c>
      <c r="F26">
        <f>'270 Baseline RESULTS'!E26</f>
        <v>2.3780000000000001</v>
      </c>
      <c r="G26">
        <f>'270 Baseline RESULTS'!G26</f>
        <v>2.3289999999999997</v>
      </c>
      <c r="H26" s="6">
        <f>'270 Baseline RESULTS'!X26</f>
        <v>0.5278350730962913</v>
      </c>
      <c r="I26" s="6">
        <f>'270 Baseline RESULTS'!Z26</f>
        <v>0.43150296367393892</v>
      </c>
      <c r="J26" s="6">
        <f>'270 Baseline RESULTS'!AB26</f>
        <v>0.34118694967565588</v>
      </c>
      <c r="K26" s="6">
        <f>'270 Baseline RESULTS'!Y26</f>
        <v>4.830670826866923E-2</v>
      </c>
      <c r="L26" s="6">
        <f>'270 Baseline RESULTS'!AA26</f>
        <v>3.2962224465680201E-2</v>
      </c>
      <c r="M26" s="6">
        <f>'270 Baseline RESULTS'!AC26</f>
        <v>3.2283019672232793E-2</v>
      </c>
      <c r="N26" s="6">
        <f>'270 Baseline RESULTS'!AD26</f>
        <v>1.5031390564995561</v>
      </c>
      <c r="O26" s="6">
        <f>'270 Baseline RESULTS'!AF26</f>
        <v>1.2288098892118988</v>
      </c>
      <c r="P26" s="6">
        <f>'270 Baseline RESULTS'!AH26</f>
        <v>0.97161302036455055</v>
      </c>
      <c r="Q26" s="6">
        <f>'270 Baseline RESULTS'!AE26</f>
        <v>0.13756512894004036</v>
      </c>
      <c r="R26" s="6">
        <f>'270 Baseline RESULTS'!AG26</f>
        <v>9.386797033555716E-2</v>
      </c>
      <c r="S26" s="6">
        <f>'270 Baseline RESULTS'!AI26</f>
        <v>9.1933769096514961E-2</v>
      </c>
    </row>
    <row r="27" spans="1:19" x14ac:dyDescent="0.25">
      <c r="A27" t="s">
        <v>41</v>
      </c>
      <c r="B27" s="6">
        <f>'270 Baseline RESULTS'!B27</f>
        <v>6.5433621818154624</v>
      </c>
      <c r="C27">
        <f>'270 Baseline RESULTS'!D27</f>
        <v>5.65</v>
      </c>
      <c r="D27" s="6">
        <f>'270 Baseline RESULTS'!F27</f>
        <v>3.9850672513518863</v>
      </c>
      <c r="E27">
        <f>'270 Baseline RESULTS'!C27</f>
        <v>1.032</v>
      </c>
      <c r="F27">
        <f>'270 Baseline RESULTS'!E27</f>
        <v>0.57800000000000007</v>
      </c>
      <c r="G27">
        <f>'270 Baseline RESULTS'!G27</f>
        <v>0.55899999999999994</v>
      </c>
      <c r="H27" s="6">
        <f>'270 Baseline RESULTS'!X27</f>
        <v>5.0345651347491289</v>
      </c>
      <c r="I27" s="6">
        <f>'270 Baseline RESULTS'!Z27</f>
        <v>4.347198308903697</v>
      </c>
      <c r="J27" s="6">
        <f>'270 Baseline RESULTS'!AB27</f>
        <v>3.0661730293706944</v>
      </c>
      <c r="K27" s="6">
        <f>'270 Baseline RESULTS'!Y27</f>
        <v>0.42766012185438984</v>
      </c>
      <c r="L27" s="6">
        <f>'270 Baseline RESULTS'!AA27</f>
        <v>0.23952282018588894</v>
      </c>
      <c r="M27" s="6">
        <f>'270 Baseline RESULTS'!AC27</f>
        <v>0.2316492326711278</v>
      </c>
      <c r="N27" s="6">
        <f>'270 Baseline RESULTS'!AD27</f>
        <v>6.2937537945583895</v>
      </c>
      <c r="O27" s="6">
        <f>'270 Baseline RESULTS'!AF27</f>
        <v>5.4344705292453837</v>
      </c>
      <c r="P27" s="6">
        <f>'270 Baseline RESULTS'!AH27</f>
        <v>3.8330496521296866</v>
      </c>
      <c r="Q27" s="6">
        <f>'270 Baseline RESULTS'!AE27</f>
        <v>0.81732752978347167</v>
      </c>
      <c r="R27" s="6">
        <f>'270 Baseline RESULTS'!AG27</f>
        <v>0.45776677540198324</v>
      </c>
      <c r="S27" s="6">
        <f>'270 Baseline RESULTS'!AI27</f>
        <v>0.44271907863271376</v>
      </c>
    </row>
    <row r="28" spans="1:19" x14ac:dyDescent="0.25">
      <c r="A28" t="s">
        <v>42</v>
      </c>
      <c r="B28" s="6">
        <f>'270 Baseline RESULTS'!B28</f>
        <v>3.9927070673270189</v>
      </c>
      <c r="C28">
        <f>'270 Baseline RESULTS'!D28</f>
        <v>3.2</v>
      </c>
      <c r="D28" s="6">
        <f>'270 Baseline RESULTS'!F28</f>
        <v>2.2175741126184962</v>
      </c>
      <c r="E28">
        <f>'270 Baseline RESULTS'!C28</f>
        <v>0.57800000000000007</v>
      </c>
      <c r="F28">
        <f>'270 Baseline RESULTS'!E28</f>
        <v>0.312</v>
      </c>
      <c r="G28">
        <f>'270 Baseline RESULTS'!G28</f>
        <v>0.3</v>
      </c>
      <c r="H28" s="6">
        <f>'270 Baseline RESULTS'!X28</f>
        <v>3.0720512231914787</v>
      </c>
      <c r="I28" s="6">
        <f>'270 Baseline RESULTS'!Z28</f>
        <v>2.4621300156622707</v>
      </c>
      <c r="J28" s="6">
        <f>'270 Baseline RESULTS'!AB28</f>
        <v>1.7062361826980075</v>
      </c>
      <c r="K28" s="6">
        <f>'270 Baseline RESULTS'!Y28</f>
        <v>0.23952282018588894</v>
      </c>
      <c r="L28" s="6">
        <f>'270 Baseline RESULTS'!AA28</f>
        <v>0.12929259497923415</v>
      </c>
      <c r="M28" s="6">
        <f>'270 Baseline RESULTS'!AC28</f>
        <v>0.12431980286464822</v>
      </c>
      <c r="N28" s="6">
        <f>'270 Baseline RESULTS'!AD28</f>
        <v>3.8403980335041497</v>
      </c>
      <c r="O28" s="6">
        <f>'270 Baseline RESULTS'!AF28</f>
        <v>3.0779302112540226</v>
      </c>
      <c r="P28" s="6">
        <f>'270 Baseline RESULTS'!AH28</f>
        <v>2.1329807365385309</v>
      </c>
      <c r="Q28" s="6">
        <f>'270 Baseline RESULTS'!AE28</f>
        <v>0.45776677540198324</v>
      </c>
      <c r="R28" s="6">
        <f>'270 Baseline RESULTS'!AG28</f>
        <v>0.24709902063221237</v>
      </c>
      <c r="S28" s="6">
        <f>'270 Baseline RESULTS'!AI28</f>
        <v>0.23759521214635804</v>
      </c>
    </row>
    <row r="29" spans="1:19" x14ac:dyDescent="0.25">
      <c r="A29" t="s">
        <v>93</v>
      </c>
      <c r="B29" s="6">
        <f>'270 Baseline RESULTS'!B29</f>
        <v>1.3665379649997009</v>
      </c>
      <c r="C29">
        <f>'270 Baseline RESULTS'!D29</f>
        <v>1.36</v>
      </c>
      <c r="D29" s="6">
        <f>'270 Baseline RESULTS'!F29</f>
        <v>1.3137527882181352</v>
      </c>
      <c r="E29">
        <f>'270 Baseline RESULTS'!C29</f>
        <v>0.73699999999999999</v>
      </c>
      <c r="F29">
        <f>'270 Baseline RESULTS'!E29</f>
        <v>0.23599999999999999</v>
      </c>
      <c r="G29">
        <f>'270 Baseline RESULTS'!G29</f>
        <v>0.19500000000000001</v>
      </c>
      <c r="H29" s="6">
        <f>'270 Baseline RESULTS'!X29</f>
        <v>0.56629243471940127</v>
      </c>
      <c r="I29" s="6">
        <f>'270 Baseline RESULTS'!Z29</f>
        <v>0.56358310631973862</v>
      </c>
      <c r="J29" s="6">
        <f>'270 Baseline RESULTS'!AB29</f>
        <v>0.54441829214720172</v>
      </c>
      <c r="K29" s="6">
        <f>'270 Baseline RESULTS'!Y29</f>
        <v>0.15956275493441308</v>
      </c>
      <c r="L29" s="6">
        <f>'270 Baseline RESULTS'!AA29</f>
        <v>5.1094722068550175E-2</v>
      </c>
      <c r="M29" s="6">
        <f>'270 Baseline RESULTS'!AC29</f>
        <v>4.2218096624437651E-2</v>
      </c>
      <c r="N29" s="6">
        <f>'270 Baseline RESULTS'!AD29</f>
        <v>1.0822762590005213</v>
      </c>
      <c r="O29" s="6">
        <f>'270 Baseline RESULTS'!AF29</f>
        <v>1.07709829506349</v>
      </c>
      <c r="P29" s="6">
        <f>'270 Baseline RESULTS'!AH29</f>
        <v>1.0404712414151909</v>
      </c>
      <c r="Q29" s="6">
        <f>'270 Baseline RESULTS'!AE29</f>
        <v>0.38087352011580372</v>
      </c>
      <c r="R29" s="6">
        <f>'270 Baseline RESULTS'!AG29</f>
        <v>0.12196221268294394</v>
      </c>
      <c r="S29" s="6">
        <f>'270 Baseline RESULTS'!AI29</f>
        <v>0.10077386217446639</v>
      </c>
    </row>
    <row r="30" spans="1:19" x14ac:dyDescent="0.25">
      <c r="A30" t="s">
        <v>44</v>
      </c>
      <c r="B30" s="6">
        <f>'270 Baseline RESULTS'!B30</f>
        <v>8.1030915438612769</v>
      </c>
      <c r="C30">
        <f>'270 Baseline RESULTS'!D30</f>
        <v>6.48</v>
      </c>
      <c r="D30" s="6">
        <f>'270 Baseline RESULTS'!F30</f>
        <v>4.5284275486096881</v>
      </c>
      <c r="E30">
        <f>'270 Baseline RESULTS'!C30</f>
        <v>1.119</v>
      </c>
      <c r="F30">
        <f>'270 Baseline RESULTS'!E30</f>
        <v>0.63200000000000001</v>
      </c>
      <c r="G30">
        <f>'270 Baseline RESULTS'!G30</f>
        <v>0.60199999999999998</v>
      </c>
      <c r="H30" s="6">
        <f>'270 Baseline RESULTS'!X30</f>
        <v>3.3579158110901064</v>
      </c>
      <c r="I30" s="6">
        <f>'270 Baseline RESULTS'!Z30</f>
        <v>2.6853077418764015</v>
      </c>
      <c r="J30" s="6">
        <f>'270 Baseline RESULTS'!AB30</f>
        <v>1.8765774004333289</v>
      </c>
      <c r="K30" s="6">
        <f>'270 Baseline RESULTS'!Y30</f>
        <v>0.24226692370638825</v>
      </c>
      <c r="L30" s="6">
        <f>'270 Baseline RESULTS'!AA30</f>
        <v>0.13682993367510043</v>
      </c>
      <c r="M30" s="6">
        <f>'270 Baseline RESULTS'!AC30</f>
        <v>0.13033484188672545</v>
      </c>
      <c r="N30" s="6">
        <f>'270 Baseline RESULTS'!AD30</f>
        <v>6.4175191813502668</v>
      </c>
      <c r="O30" s="6">
        <f>'270 Baseline RESULTS'!AF30</f>
        <v>5.1320565823613347</v>
      </c>
      <c r="P30" s="6">
        <f>'270 Baseline RESULTS'!AH30</f>
        <v>3.5864423470044366</v>
      </c>
      <c r="Q30" s="6">
        <f>'270 Baseline RESULTS'!AE30</f>
        <v>0.57828693217039939</v>
      </c>
      <c r="R30" s="6">
        <f>'270 Baseline RESULTS'!AG30</f>
        <v>0.32661067125262955</v>
      </c>
      <c r="S30" s="6">
        <f>'270 Baseline RESULTS'!AI30</f>
        <v>0.31110700014886544</v>
      </c>
    </row>
    <row r="31" spans="1:19" x14ac:dyDescent="0.25">
      <c r="A31" t="s">
        <v>80</v>
      </c>
      <c r="B31" s="6">
        <f>'270 Baseline RESULTS'!B31</f>
        <v>1.1921656831162284</v>
      </c>
      <c r="C31">
        <f>'270 Baseline RESULTS'!D31</f>
        <v>1.18</v>
      </c>
      <c r="D31" s="6">
        <f>'270 Baseline RESULTS'!F31</f>
        <v>1.1179206781790507</v>
      </c>
      <c r="E31">
        <f>'270 Baseline RESULTS'!C31</f>
        <v>0.68499999999999994</v>
      </c>
      <c r="F31">
        <f>'270 Baseline RESULTS'!E31</f>
        <v>0.23900000000000002</v>
      </c>
      <c r="G31">
        <f>'270 Baseline RESULTS'!G31</f>
        <v>0.20400000000000001</v>
      </c>
      <c r="H31" s="6">
        <f>'270 Baseline RESULTS'!X31</f>
        <v>0.91727091001343153</v>
      </c>
      <c r="I31" s="6">
        <f>'270 Baseline RESULTS'!Z31</f>
        <v>0.90791044327546222</v>
      </c>
      <c r="J31" s="6">
        <f>'270 Baseline RESULTS'!AB31</f>
        <v>0.86014564277317573</v>
      </c>
      <c r="K31" s="6">
        <f>'270 Baseline RESULTS'!Y31</f>
        <v>0.28386354987428009</v>
      </c>
      <c r="L31" s="6">
        <f>'270 Baseline RESULTS'!AA31</f>
        <v>9.9041442948836433E-2</v>
      </c>
      <c r="M31" s="6">
        <f>'270 Baseline RESULTS'!AC31</f>
        <v>8.4537465947960799E-2</v>
      </c>
      <c r="N31" s="6">
        <f>'270 Baseline RESULTS'!AD31</f>
        <v>1.1466883665261651</v>
      </c>
      <c r="O31" s="6">
        <f>'270 Baseline RESULTS'!AF31</f>
        <v>1.1349867653999206</v>
      </c>
      <c r="P31" s="6">
        <f>'270 Baseline RESULTS'!AH31</f>
        <v>1.0752755716102766</v>
      </c>
      <c r="Q31" s="6">
        <f>'270 Baseline RESULTS'!AE31</f>
        <v>0.54250906773418417</v>
      </c>
      <c r="R31" s="6">
        <f>'270 Baseline RESULTS'!AG31</f>
        <v>0.1892841856765986</v>
      </c>
      <c r="S31" s="6">
        <f>'270 Baseline RESULTS'!AI31</f>
        <v>0.1615647442595235</v>
      </c>
    </row>
    <row r="32" spans="1:19" x14ac:dyDescent="0.25">
      <c r="A32" t="s">
        <v>81</v>
      </c>
      <c r="B32" s="6">
        <f>'270 Baseline RESULTS'!B32</f>
        <v>7.9931399787021871</v>
      </c>
      <c r="C32">
        <f>'270 Baseline RESULTS'!D32</f>
        <v>6.38</v>
      </c>
      <c r="D32" s="6">
        <f>'270 Baseline RESULTS'!F32</f>
        <v>4.3092485099152746</v>
      </c>
      <c r="E32">
        <f>'270 Baseline RESULTS'!C32</f>
        <v>1.115</v>
      </c>
      <c r="F32">
        <f>'270 Baseline RESULTS'!E32</f>
        <v>0.65800000000000003</v>
      </c>
      <c r="G32">
        <f>'270 Baseline RESULTS'!G32</f>
        <v>0.63200000000000001</v>
      </c>
      <c r="H32" s="6">
        <f>'270 Baseline RESULTS'!X32</f>
        <v>1.7305392613000219</v>
      </c>
      <c r="I32" s="6">
        <f>'270 Baseline RESULTS'!Z32</f>
        <v>1.3812895203277549</v>
      </c>
      <c r="J32" s="6">
        <f>'270 Baseline RESULTS'!AB32</f>
        <v>0.93296548702726678</v>
      </c>
      <c r="K32" s="6">
        <f>'270 Baseline RESULTS'!Y32</f>
        <v>0.12517889358695944</v>
      </c>
      <c r="L32" s="6">
        <f>'270 Baseline RESULTS'!AA32</f>
        <v>7.387238742620561E-2</v>
      </c>
      <c r="M32" s="6">
        <f>'270 Baseline RESULTS'!AC32</f>
        <v>7.0953417710276523E-2</v>
      </c>
      <c r="N32" s="6">
        <f>'270 Baseline RESULTS'!AD32</f>
        <v>4.130767110538212</v>
      </c>
      <c r="O32" s="6">
        <f>'270 Baseline RESULTS'!AF32</f>
        <v>3.2971140547338234</v>
      </c>
      <c r="P32" s="6">
        <f>'270 Baseline RESULTS'!AH32</f>
        <v>2.2269723867370592</v>
      </c>
      <c r="Q32" s="6">
        <f>'270 Baseline RESULTS'!AE32</f>
        <v>0.33562843957212252</v>
      </c>
      <c r="R32" s="6">
        <f>'270 Baseline RESULTS'!AG32</f>
        <v>0.19806593115556648</v>
      </c>
      <c r="S32" s="6">
        <f>'270 Baseline RESULTS'!AI32</f>
        <v>0.19023961776644077</v>
      </c>
    </row>
    <row r="33" spans="1:19" x14ac:dyDescent="0.25">
      <c r="A33" t="s">
        <v>82</v>
      </c>
      <c r="B33" s="6">
        <f>'270 Baseline RESULTS'!B33</f>
        <v>5.4466617098251344</v>
      </c>
      <c r="C33">
        <f>'270 Baseline RESULTS'!D33</f>
        <v>4.58</v>
      </c>
      <c r="D33" s="6">
        <f>'270 Baseline RESULTS'!F33</f>
        <v>2.934706184963682</v>
      </c>
      <c r="E33">
        <f>'270 Baseline RESULTS'!C33</f>
        <v>0.95099999999999996</v>
      </c>
      <c r="F33">
        <f>'270 Baseline RESULTS'!E33</f>
        <v>0.51800000000000002</v>
      </c>
      <c r="G33">
        <f>'270 Baseline RESULTS'!G33</f>
        <v>0.496</v>
      </c>
      <c r="H33" s="6">
        <f>'270 Baseline RESULTS'!X33</f>
        <v>2.2570930334529615</v>
      </c>
      <c r="I33" s="6">
        <f>'270 Baseline RESULTS'!Z33</f>
        <v>1.8979489904002964</v>
      </c>
      <c r="J33" s="6">
        <f>'270 Baseline RESULTS'!AB33</f>
        <v>1.2161403146011627</v>
      </c>
      <c r="K33" s="6">
        <f>'270 Baseline RESULTS'!Y33</f>
        <v>0.2058944096914882</v>
      </c>
      <c r="L33" s="6">
        <f>'270 Baseline RESULTS'!AA33</f>
        <v>0.11214858487927537</v>
      </c>
      <c r="M33" s="6">
        <f>'270 Baseline RESULTS'!AC33</f>
        <v>0.10738551756780035</v>
      </c>
      <c r="N33" s="6">
        <f>'270 Baseline RESULTS'!AD33</f>
        <v>4.3136691481178264</v>
      </c>
      <c r="O33" s="6">
        <f>'270 Baseline RESULTS'!AF33</f>
        <v>3.6272869054343997</v>
      </c>
      <c r="P33" s="6">
        <f>'270 Baseline RESULTS'!AH33</f>
        <v>2.3242404620122503</v>
      </c>
      <c r="Q33" s="6">
        <f>'270 Baseline RESULTS'!AE33</f>
        <v>0.49146637398932069</v>
      </c>
      <c r="R33" s="6">
        <f>'270 Baseline RESULTS'!AG33</f>
        <v>0.26769672105832609</v>
      </c>
      <c r="S33" s="6">
        <f>'270 Baseline RESULTS'!AI33</f>
        <v>0.25632736224889913</v>
      </c>
    </row>
    <row r="34" spans="1:19" x14ac:dyDescent="0.25">
      <c r="H34" s="6"/>
      <c r="I34" s="6"/>
      <c r="J34" s="6"/>
    </row>
  </sheetData>
  <sheetProtection password="C2EC" sheet="1" objects="1" scenarios="1" selectLockedCells="1" selectUnlockedCells="1"/>
  <mergeCells count="9">
    <mergeCell ref="B1:G1"/>
    <mergeCell ref="B2:D2"/>
    <mergeCell ref="E2:G2"/>
    <mergeCell ref="H1:M1"/>
    <mergeCell ref="N1:S1"/>
    <mergeCell ref="N2:P2"/>
    <mergeCell ref="Q2:S2"/>
    <mergeCell ref="H2:J2"/>
    <mergeCell ref="K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tint="-0.89999084444715716"/>
  </sheetPr>
  <dimension ref="A1:U33"/>
  <sheetViews>
    <sheetView workbookViewId="0">
      <selection activeCell="Z41" sqref="Z41"/>
    </sheetView>
  </sheetViews>
  <sheetFormatPr defaultRowHeight="15" x14ac:dyDescent="0.25"/>
  <cols>
    <col min="1" max="1" width="32.85546875" bestFit="1" customWidth="1"/>
    <col min="2" max="2" width="16.28515625" customWidth="1"/>
    <col min="3" max="3" width="20.28515625" bestFit="1" customWidth="1"/>
  </cols>
  <sheetData>
    <row r="1" spans="1:21" x14ac:dyDescent="0.25">
      <c r="D1" s="186" t="s">
        <v>184</v>
      </c>
      <c r="E1" s="186"/>
      <c r="F1" s="186"/>
      <c r="G1" s="186"/>
      <c r="H1" s="186"/>
      <c r="I1" s="186"/>
      <c r="J1" s="186" t="s">
        <v>105</v>
      </c>
      <c r="K1" s="186"/>
      <c r="L1" s="186"/>
      <c r="M1" s="186"/>
      <c r="N1" s="186"/>
      <c r="O1" s="186"/>
      <c r="P1" s="186" t="s">
        <v>108</v>
      </c>
      <c r="Q1" s="186"/>
      <c r="R1" s="186"/>
      <c r="S1" s="186"/>
      <c r="T1" s="186"/>
      <c r="U1" s="186"/>
    </row>
    <row r="2" spans="1:21" x14ac:dyDescent="0.25">
      <c r="D2" s="186" t="s">
        <v>186</v>
      </c>
      <c r="E2" s="186"/>
      <c r="F2" s="186"/>
      <c r="G2" s="186" t="s">
        <v>187</v>
      </c>
      <c r="H2" s="186"/>
      <c r="I2" s="186"/>
      <c r="J2" s="186" t="s">
        <v>185</v>
      </c>
      <c r="K2" s="186"/>
      <c r="L2" s="186"/>
      <c r="M2" s="186" t="s">
        <v>188</v>
      </c>
      <c r="N2" s="186"/>
      <c r="O2" s="186"/>
      <c r="P2" s="186" t="s">
        <v>185</v>
      </c>
      <c r="Q2" s="186"/>
      <c r="R2" s="186"/>
      <c r="S2" s="186" t="s">
        <v>188</v>
      </c>
      <c r="T2" s="186"/>
      <c r="U2" s="186"/>
    </row>
    <row r="3" spans="1:21" x14ac:dyDescent="0.25">
      <c r="A3" s="49" t="s">
        <v>48</v>
      </c>
      <c r="B3" s="49" t="s">
        <v>194</v>
      </c>
      <c r="C3" s="49" t="s">
        <v>195</v>
      </c>
      <c r="D3" s="49" t="s">
        <v>183</v>
      </c>
      <c r="E3" s="49" t="s">
        <v>0</v>
      </c>
      <c r="F3" s="49" t="s">
        <v>1</v>
      </c>
      <c r="G3" s="49" t="s">
        <v>183</v>
      </c>
      <c r="H3" s="49" t="s">
        <v>0</v>
      </c>
      <c r="I3" s="49" t="s">
        <v>1</v>
      </c>
      <c r="J3" s="49" t="s">
        <v>183</v>
      </c>
      <c r="K3" s="49" t="s">
        <v>0</v>
      </c>
      <c r="L3" s="49" t="s">
        <v>1</v>
      </c>
      <c r="M3" s="49" t="s">
        <v>183</v>
      </c>
      <c r="N3" s="49" t="s">
        <v>0</v>
      </c>
      <c r="O3" s="49" t="s">
        <v>1</v>
      </c>
      <c r="P3" s="49" t="s">
        <v>183</v>
      </c>
      <c r="Q3" s="49" t="s">
        <v>0</v>
      </c>
      <c r="R3" s="49" t="s">
        <v>1</v>
      </c>
      <c r="S3" s="49" t="s">
        <v>183</v>
      </c>
      <c r="T3" s="49" t="s">
        <v>0</v>
      </c>
      <c r="U3" s="49" t="s">
        <v>1</v>
      </c>
    </row>
    <row r="4" spans="1:21" x14ac:dyDescent="0.25">
      <c r="A4" t="s">
        <v>87</v>
      </c>
      <c r="B4">
        <v>-4.8</v>
      </c>
      <c r="C4">
        <f t="shared" ref="C4:C32" si="0">(B4/-4.6)*950</f>
        <v>991.30434782608688</v>
      </c>
      <c r="D4" s="6">
        <f>C_factor!E2*E4</f>
        <v>2.7054075297782192</v>
      </c>
      <c r="E4" s="55">
        <v>2.4238399942713964</v>
      </c>
      <c r="F4" s="6">
        <f>E4*C_factor!F2</f>
        <v>1.6354017352968047</v>
      </c>
      <c r="G4" s="56">
        <v>0.765067136630601</v>
      </c>
      <c r="H4" s="56">
        <v>0.3927672745915235</v>
      </c>
      <c r="I4" s="56">
        <v>0.38118238861846027</v>
      </c>
      <c r="J4" s="6"/>
      <c r="K4" s="6"/>
      <c r="L4" s="6"/>
      <c r="M4" s="6"/>
      <c r="N4" s="6"/>
      <c r="O4" s="6"/>
      <c r="P4" s="6"/>
      <c r="Q4" s="6"/>
      <c r="R4" s="6"/>
      <c r="S4" s="6"/>
      <c r="T4" s="6"/>
      <c r="U4" s="6"/>
    </row>
    <row r="5" spans="1:21" x14ac:dyDescent="0.25">
      <c r="A5" t="s">
        <v>19</v>
      </c>
      <c r="B5">
        <v>-4.0999999999999996</v>
      </c>
      <c r="C5">
        <f t="shared" si="0"/>
        <v>846.73913043478262</v>
      </c>
      <c r="D5" s="6">
        <f>C_factor!E3*E5</f>
        <v>3.923787989177427</v>
      </c>
      <c r="E5" s="55">
        <v>3.5184907880469334</v>
      </c>
      <c r="F5" s="6">
        <f>E5*C_factor!F3</f>
        <v>2.2362197743979801</v>
      </c>
      <c r="G5" s="56">
        <v>0.77962031326678272</v>
      </c>
      <c r="H5" s="56">
        <v>0.54239345018744467</v>
      </c>
      <c r="I5" s="56">
        <v>0.56813278081271235</v>
      </c>
      <c r="J5" s="6"/>
      <c r="K5" s="6"/>
      <c r="L5" s="6"/>
      <c r="M5" s="6"/>
      <c r="N5" s="6"/>
      <c r="O5" s="6"/>
      <c r="P5" s="6"/>
      <c r="Q5" s="6"/>
      <c r="R5" s="6"/>
      <c r="S5" s="6"/>
      <c r="T5" s="6"/>
      <c r="U5" s="6"/>
    </row>
    <row r="6" spans="1:21" x14ac:dyDescent="0.25">
      <c r="A6" t="s">
        <v>20</v>
      </c>
      <c r="B6">
        <v>-2.4</v>
      </c>
      <c r="C6">
        <f t="shared" si="0"/>
        <v>495.65217391304344</v>
      </c>
      <c r="D6" s="6">
        <f>C_factor!E4*E6</f>
        <v>74.880997327327393</v>
      </c>
      <c r="E6" s="55">
        <v>61.27894314185626</v>
      </c>
      <c r="F6" s="6">
        <f>E6*C_factor!F4</f>
        <v>49.168243211884665</v>
      </c>
      <c r="G6" s="56">
        <v>6.4434881124700052</v>
      </c>
      <c r="H6" s="56">
        <v>4.5837163207608542</v>
      </c>
      <c r="I6" s="56">
        <v>4.5313028376408084</v>
      </c>
      <c r="J6" s="6"/>
      <c r="K6" s="6"/>
      <c r="L6" s="6"/>
      <c r="M6" s="6"/>
      <c r="N6" s="6"/>
      <c r="O6" s="6"/>
      <c r="P6" s="6"/>
      <c r="Q6" s="6"/>
      <c r="R6" s="6"/>
      <c r="S6" s="6"/>
      <c r="T6" s="6"/>
      <c r="U6" s="6"/>
    </row>
    <row r="7" spans="1:21" x14ac:dyDescent="0.25">
      <c r="A7" t="s">
        <v>21</v>
      </c>
      <c r="B7">
        <v>-4.3</v>
      </c>
      <c r="C7">
        <f t="shared" si="0"/>
        <v>888.04347826086962</v>
      </c>
      <c r="D7" s="6">
        <f>C_factor!E5*E7</f>
        <v>3.6344009069246832</v>
      </c>
      <c r="E7" s="55">
        <v>3.4192006171457483</v>
      </c>
      <c r="F7" s="6">
        <f>E7*C_factor!F5</f>
        <v>2.3655840775740855</v>
      </c>
      <c r="G7" s="56">
        <v>0.88119975137598894</v>
      </c>
      <c r="H7" s="56">
        <v>0.50541790562729649</v>
      </c>
      <c r="I7" s="56">
        <v>0.49799644307683816</v>
      </c>
      <c r="J7" s="6"/>
      <c r="K7" s="6"/>
      <c r="L7" s="6"/>
      <c r="M7" s="6"/>
      <c r="N7" s="6"/>
      <c r="O7" s="6"/>
      <c r="P7" s="6"/>
      <c r="Q7" s="6"/>
      <c r="R7" s="6"/>
      <c r="S7" s="6"/>
      <c r="T7" s="6"/>
      <c r="U7" s="6"/>
    </row>
    <row r="8" spans="1:21" x14ac:dyDescent="0.25">
      <c r="A8" t="s">
        <v>22</v>
      </c>
      <c r="B8">
        <v>-4.3</v>
      </c>
      <c r="C8">
        <f t="shared" si="0"/>
        <v>888.04347826086962</v>
      </c>
      <c r="D8" s="6">
        <f>C_factor!E6*E8</f>
        <v>8.1736456803747473</v>
      </c>
      <c r="E8" s="55">
        <v>6.1247783629837826</v>
      </c>
      <c r="F8" s="6">
        <f>E8*C_factor!F6</f>
        <v>4.4502373726525635</v>
      </c>
      <c r="G8" s="56">
        <v>0.90508507359958568</v>
      </c>
      <c r="H8" s="56">
        <v>0.54477199139384447</v>
      </c>
      <c r="I8" s="56">
        <v>0.52872810583076302</v>
      </c>
      <c r="J8" s="6"/>
      <c r="K8" s="6"/>
      <c r="L8" s="6"/>
      <c r="M8" s="6"/>
      <c r="N8" s="6"/>
      <c r="O8" s="6"/>
      <c r="P8" s="6"/>
      <c r="Q8" s="6"/>
      <c r="R8" s="6"/>
      <c r="S8" s="6"/>
      <c r="T8" s="6"/>
      <c r="U8" s="6"/>
    </row>
    <row r="9" spans="1:21" x14ac:dyDescent="0.25">
      <c r="A9" t="s">
        <v>23</v>
      </c>
      <c r="B9">
        <v>-4.2</v>
      </c>
      <c r="C9">
        <f t="shared" si="0"/>
        <v>867.39130434782612</v>
      </c>
      <c r="D9" s="6">
        <f>C_factor!E7*E9</f>
        <v>2.1906736621239422</v>
      </c>
      <c r="E9" s="55">
        <v>2.0628786355670261</v>
      </c>
      <c r="F9" s="6">
        <f>E9*C_factor!F7</f>
        <v>1.353861500860716</v>
      </c>
      <c r="G9" s="56">
        <v>1.0289613008060505</v>
      </c>
      <c r="H9" s="56">
        <v>0.4840983956955916</v>
      </c>
      <c r="I9" s="56">
        <v>0.42469178627347076</v>
      </c>
      <c r="J9" s="6"/>
      <c r="K9" s="6"/>
      <c r="L9" s="6"/>
      <c r="M9" s="6"/>
      <c r="N9" s="6"/>
      <c r="O9" s="6"/>
      <c r="P9" s="6"/>
      <c r="Q9" s="6"/>
      <c r="R9" s="6"/>
      <c r="S9" s="6"/>
      <c r="T9" s="6"/>
      <c r="U9" s="6"/>
    </row>
    <row r="10" spans="1:21" x14ac:dyDescent="0.25">
      <c r="A10" t="s">
        <v>88</v>
      </c>
      <c r="B10">
        <v>-4.5999999999999996</v>
      </c>
      <c r="C10">
        <f t="shared" si="0"/>
        <v>950</v>
      </c>
      <c r="D10" s="6">
        <f>C_factor!E8*E10</f>
        <v>4.7141961817150415</v>
      </c>
      <c r="E10" s="55">
        <v>3.6447057505836771</v>
      </c>
      <c r="F10" s="6">
        <f>E10*C_factor!F8</f>
        <v>2.551332074015995</v>
      </c>
      <c r="G10" s="56">
        <v>0.63309621508054792</v>
      </c>
      <c r="H10" s="56">
        <v>0.35037324487988308</v>
      </c>
      <c r="I10" s="56">
        <v>0.33919263503072505</v>
      </c>
      <c r="J10" s="6"/>
      <c r="K10" s="6"/>
      <c r="L10" s="6"/>
      <c r="M10" s="6"/>
      <c r="N10" s="6"/>
      <c r="O10" s="6"/>
      <c r="P10" s="6"/>
      <c r="Q10" s="6"/>
      <c r="R10" s="6"/>
      <c r="S10" s="6"/>
      <c r="T10" s="6"/>
      <c r="U10" s="6"/>
    </row>
    <row r="11" spans="1:21" x14ac:dyDescent="0.25">
      <c r="A11" t="s">
        <v>89</v>
      </c>
      <c r="B11">
        <v>-4.7</v>
      </c>
      <c r="C11">
        <f t="shared" si="0"/>
        <v>970.65217391304361</v>
      </c>
      <c r="D11" s="6">
        <f>C_factor!E9*E11</f>
        <v>5.1065292294775961</v>
      </c>
      <c r="E11" s="55">
        <v>4.3487841404278766</v>
      </c>
      <c r="F11" s="6">
        <f>E11*C_factor!F9</f>
        <v>2.9314109282428298</v>
      </c>
      <c r="G11" s="56">
        <v>0.81856941025800778</v>
      </c>
      <c r="H11" s="56">
        <v>0.45513303312907583</v>
      </c>
      <c r="I11" s="56">
        <v>0.44348038778108928</v>
      </c>
      <c r="J11" s="6"/>
      <c r="K11" s="6"/>
      <c r="L11" s="6"/>
      <c r="M11" s="6"/>
      <c r="N11" s="6"/>
      <c r="O11" s="6"/>
      <c r="P11" s="6"/>
      <c r="Q11" s="6"/>
      <c r="R11" s="6"/>
      <c r="S11" s="6"/>
      <c r="T11" s="6"/>
      <c r="U11" s="6"/>
    </row>
    <row r="12" spans="1:21" x14ac:dyDescent="0.25">
      <c r="A12" t="s">
        <v>26</v>
      </c>
      <c r="B12">
        <v>-4.5</v>
      </c>
      <c r="C12">
        <f t="shared" si="0"/>
        <v>929.34782608695662</v>
      </c>
      <c r="D12" s="6">
        <f>C_factor!E10*E12</f>
        <v>3.9676365011995491</v>
      </c>
      <c r="E12" s="55">
        <v>3.7980967851554777</v>
      </c>
      <c r="F12" s="6">
        <f>E12*C_factor!F10</f>
        <v>3.1525794498321864</v>
      </c>
      <c r="G12" s="56">
        <v>0.77158188850145104</v>
      </c>
      <c r="H12" s="56">
        <v>0.41714262631685345</v>
      </c>
      <c r="I12" s="56">
        <v>0.4224392159915018</v>
      </c>
      <c r="J12" s="6"/>
      <c r="K12" s="6"/>
      <c r="L12" s="6"/>
      <c r="M12" s="6"/>
      <c r="N12" s="6"/>
      <c r="O12" s="6"/>
      <c r="P12" s="6"/>
      <c r="Q12" s="6"/>
      <c r="R12" s="6"/>
      <c r="S12" s="6"/>
      <c r="T12" s="6"/>
      <c r="U12" s="6"/>
    </row>
    <row r="13" spans="1:21" x14ac:dyDescent="0.25">
      <c r="A13" t="s">
        <v>27</v>
      </c>
      <c r="B13">
        <v>-3.9</v>
      </c>
      <c r="C13">
        <f t="shared" si="0"/>
        <v>805.43478260869574</v>
      </c>
      <c r="D13" s="6">
        <f>C_factor!E11*E13</f>
        <v>7.459359238138922</v>
      </c>
      <c r="E13" s="55">
        <v>5.4045012635708058</v>
      </c>
      <c r="F13" s="6">
        <f>E13*C_factor!F11</f>
        <v>4.0062099033790366</v>
      </c>
      <c r="G13" s="56">
        <v>0.83833013646810195</v>
      </c>
      <c r="H13" s="56">
        <v>0.48928932385040813</v>
      </c>
      <c r="I13" s="56">
        <v>0.47897581796512351</v>
      </c>
      <c r="J13" s="6"/>
      <c r="K13" s="6"/>
      <c r="L13" s="6"/>
      <c r="M13" s="6"/>
      <c r="N13" s="6"/>
      <c r="O13" s="6"/>
      <c r="P13" s="6"/>
      <c r="Q13" s="6"/>
      <c r="R13" s="6"/>
      <c r="S13" s="6"/>
      <c r="T13" s="6"/>
      <c r="U13" s="6"/>
    </row>
    <row r="14" spans="1:21" x14ac:dyDescent="0.25">
      <c r="A14" t="s">
        <v>28</v>
      </c>
      <c r="B14">
        <v>-4.8</v>
      </c>
      <c r="C14">
        <f t="shared" si="0"/>
        <v>991.30434782608688</v>
      </c>
      <c r="D14" s="6">
        <f>C_factor!E12*E14</f>
        <v>1.0660718945235963</v>
      </c>
      <c r="E14" s="55">
        <v>1.0619412099132683</v>
      </c>
      <c r="F14" s="6">
        <f>E14*C_factor!F12</f>
        <v>1.0342516181194747</v>
      </c>
      <c r="G14" s="56">
        <v>0.36096113503053573</v>
      </c>
      <c r="H14" s="56">
        <v>0.15402774147664727</v>
      </c>
      <c r="I14" s="56">
        <v>0.16983217322255931</v>
      </c>
      <c r="J14" s="6"/>
      <c r="K14" s="6"/>
      <c r="L14" s="6"/>
      <c r="M14" s="6"/>
      <c r="N14" s="6"/>
      <c r="O14" s="6"/>
      <c r="P14" s="6"/>
      <c r="Q14" s="6"/>
      <c r="R14" s="6"/>
      <c r="S14" s="6"/>
      <c r="T14" s="6"/>
      <c r="U14" s="6"/>
    </row>
    <row r="15" spans="1:21" x14ac:dyDescent="0.25">
      <c r="A15" t="s">
        <v>29</v>
      </c>
      <c r="B15">
        <v>-4.3</v>
      </c>
      <c r="C15">
        <f t="shared" si="0"/>
        <v>888.04347826086962</v>
      </c>
      <c r="D15" s="6">
        <f>C_factor!E13*E15</f>
        <v>5.6714084678144152</v>
      </c>
      <c r="E15" s="55">
        <v>4.5317809969225573</v>
      </c>
      <c r="F15" s="6">
        <f>E15*C_factor!F13</f>
        <v>3.0432168183472323</v>
      </c>
      <c r="G15" s="56">
        <v>0.90578941697349646</v>
      </c>
      <c r="H15" s="56">
        <v>0.46949410687015625</v>
      </c>
      <c r="I15" s="56">
        <v>0.43757464856717787</v>
      </c>
      <c r="J15" s="6"/>
      <c r="K15" s="6"/>
      <c r="L15" s="6"/>
      <c r="M15" s="6"/>
      <c r="N15" s="6"/>
      <c r="O15" s="6"/>
      <c r="P15" s="6"/>
      <c r="Q15" s="6"/>
      <c r="R15" s="6"/>
      <c r="S15" s="6"/>
      <c r="T15" s="6"/>
      <c r="U15" s="6"/>
    </row>
    <row r="16" spans="1:21" x14ac:dyDescent="0.25">
      <c r="A16" t="s">
        <v>30</v>
      </c>
      <c r="B16">
        <v>-5.2</v>
      </c>
      <c r="C16">
        <f t="shared" si="0"/>
        <v>1073.913043478261</v>
      </c>
      <c r="D16" s="6">
        <f>C_factor!E14*E16</f>
        <v>1.7827856574381846</v>
      </c>
      <c r="E16" s="55">
        <v>1.7653531982686101</v>
      </c>
      <c r="F16" s="6">
        <f>E16*C_factor!F14</f>
        <v>1.6518260046158459</v>
      </c>
      <c r="G16" s="56">
        <v>0.56886591422910904</v>
      </c>
      <c r="H16" s="56">
        <v>0.26137774837061289</v>
      </c>
      <c r="I16" s="56">
        <v>0.26923597215847073</v>
      </c>
      <c r="J16" s="6"/>
      <c r="K16" s="6"/>
      <c r="L16" s="6"/>
      <c r="M16" s="6"/>
      <c r="N16" s="6"/>
      <c r="O16" s="6"/>
      <c r="P16" s="6"/>
      <c r="Q16" s="6"/>
      <c r="R16" s="6"/>
      <c r="S16" s="6"/>
      <c r="T16" s="6"/>
      <c r="U16" s="6"/>
    </row>
    <row r="17" spans="1:21" x14ac:dyDescent="0.25">
      <c r="A17" t="s">
        <v>90</v>
      </c>
      <c r="B17">
        <v>-4.9000000000000004</v>
      </c>
      <c r="C17">
        <f t="shared" si="0"/>
        <v>1011.9565217391305</v>
      </c>
      <c r="D17" s="6">
        <f>C_factor!E15*E17</f>
        <v>5.7392940915926607</v>
      </c>
      <c r="E17" s="55">
        <v>4.3239271215767889</v>
      </c>
      <c r="F17" s="6">
        <f>E17*C_factor!F15</f>
        <v>3.0535500430951599</v>
      </c>
      <c r="G17" s="56">
        <v>0.54837187387944075</v>
      </c>
      <c r="H17" s="56">
        <v>0.38138216335494374</v>
      </c>
      <c r="I17" s="56">
        <v>0.39405214156752838</v>
      </c>
      <c r="J17" s="6"/>
      <c r="K17" s="6"/>
      <c r="L17" s="6"/>
      <c r="M17" s="6"/>
      <c r="N17" s="6"/>
      <c r="O17" s="6"/>
      <c r="P17" s="6"/>
      <c r="Q17" s="6"/>
      <c r="R17" s="6"/>
      <c r="S17" s="6"/>
      <c r="T17" s="6"/>
      <c r="U17" s="6"/>
    </row>
    <row r="18" spans="1:21" x14ac:dyDescent="0.25">
      <c r="A18" t="s">
        <v>91</v>
      </c>
      <c r="B18">
        <v>-5</v>
      </c>
      <c r="C18">
        <f t="shared" si="0"/>
        <v>1032.608695652174</v>
      </c>
      <c r="D18" s="6">
        <f>C_factor!E16*E18</f>
        <v>2.6113047195512609</v>
      </c>
      <c r="E18" s="55">
        <v>2.4689440840522843</v>
      </c>
      <c r="F18" s="6">
        <f>E18*C_factor!F16</f>
        <v>2.1001514814158502</v>
      </c>
      <c r="G18" s="56">
        <v>0.7084214551324951</v>
      </c>
      <c r="H18" s="56">
        <v>0.30078118318044694</v>
      </c>
      <c r="I18" s="56">
        <v>0.27702498050998425</v>
      </c>
      <c r="J18" s="6"/>
      <c r="K18" s="6"/>
      <c r="L18" s="6"/>
      <c r="M18" s="6"/>
      <c r="N18" s="6"/>
      <c r="O18" s="6"/>
      <c r="P18" s="6"/>
      <c r="Q18" s="6"/>
      <c r="R18" s="6"/>
      <c r="S18" s="6"/>
      <c r="T18" s="6"/>
      <c r="U18" s="6"/>
    </row>
    <row r="19" spans="1:21" x14ac:dyDescent="0.25">
      <c r="A19" t="s">
        <v>33</v>
      </c>
      <c r="B19">
        <v>-3.6</v>
      </c>
      <c r="C19">
        <f t="shared" si="0"/>
        <v>743.47826086956525</v>
      </c>
      <c r="D19" s="6">
        <f>C_factor!E17*E19</f>
        <v>15.144145014949464</v>
      </c>
      <c r="E19" s="55">
        <v>12.404512645904182</v>
      </c>
      <c r="F19" s="6">
        <f>E19*C_factor!F17</f>
        <v>9.5613477917539047</v>
      </c>
      <c r="G19" s="56">
        <v>1.6511054113589996</v>
      </c>
      <c r="H19" s="56">
        <v>1.0099315475631125</v>
      </c>
      <c r="I19" s="56">
        <v>0.97532049871811299</v>
      </c>
      <c r="J19" s="6"/>
      <c r="K19" s="6"/>
      <c r="L19" s="6"/>
      <c r="M19" s="6"/>
      <c r="N19" s="6"/>
      <c r="O19" s="6"/>
      <c r="P19" s="6"/>
      <c r="Q19" s="6"/>
      <c r="R19" s="6"/>
      <c r="S19" s="6"/>
      <c r="T19" s="6"/>
      <c r="U19" s="6"/>
    </row>
    <row r="20" spans="1:21" x14ac:dyDescent="0.25">
      <c r="A20" t="s">
        <v>34</v>
      </c>
      <c r="B20">
        <v>-3.9</v>
      </c>
      <c r="C20">
        <f t="shared" si="0"/>
        <v>805.43478260869574</v>
      </c>
      <c r="D20" s="6">
        <f>C_factor!E18*E20</f>
        <v>16.483981999873457</v>
      </c>
      <c r="E20" s="55">
        <v>14.056259334126423</v>
      </c>
      <c r="F20" s="6">
        <f>E20*C_factor!F18</f>
        <v>8.9499395001551711</v>
      </c>
      <c r="G20" s="56">
        <v>2.2328425463296733</v>
      </c>
      <c r="H20" s="56">
        <v>1.4863189340674317</v>
      </c>
      <c r="I20" s="56">
        <v>1.4756161316369167</v>
      </c>
      <c r="J20" s="6"/>
      <c r="K20" s="6"/>
      <c r="L20" s="6"/>
      <c r="M20" s="6"/>
      <c r="N20" s="6"/>
      <c r="O20" s="6"/>
      <c r="P20" s="6"/>
      <c r="Q20" s="6"/>
      <c r="R20" s="6"/>
      <c r="S20" s="6"/>
      <c r="T20" s="6"/>
      <c r="U20" s="6"/>
    </row>
    <row r="21" spans="1:21" x14ac:dyDescent="0.25">
      <c r="A21" t="s">
        <v>92</v>
      </c>
      <c r="B21">
        <v>-4.4000000000000004</v>
      </c>
      <c r="C21">
        <f t="shared" si="0"/>
        <v>908.69565217391323</v>
      </c>
      <c r="D21" s="6">
        <f>C_factor!E19*E21</f>
        <v>0.25669157973295842</v>
      </c>
      <c r="E21" s="55">
        <v>0.25344809852161176</v>
      </c>
      <c r="F21" s="6">
        <f>E21*C_factor!F19</f>
        <v>0.23112169071903349</v>
      </c>
      <c r="G21" s="56">
        <v>0.38420327621115724</v>
      </c>
      <c r="H21" s="56">
        <v>0.12520203756175208</v>
      </c>
      <c r="I21" s="56">
        <v>0.11797842380948834</v>
      </c>
      <c r="J21" s="6"/>
      <c r="K21" s="6"/>
      <c r="L21" s="6"/>
      <c r="M21" s="6"/>
      <c r="N21" s="6"/>
      <c r="O21" s="6"/>
      <c r="P21" s="6"/>
      <c r="Q21" s="6"/>
      <c r="R21" s="6"/>
      <c r="S21" s="6"/>
      <c r="T21" s="6"/>
      <c r="U21" s="6"/>
    </row>
    <row r="22" spans="1:21" x14ac:dyDescent="0.25">
      <c r="A22" t="s">
        <v>36</v>
      </c>
      <c r="B22">
        <v>-3.8</v>
      </c>
      <c r="C22">
        <f t="shared" si="0"/>
        <v>784.78260869565213</v>
      </c>
      <c r="D22" s="6">
        <f>C_factor!E20*E22</f>
        <v>5.2181381222186713</v>
      </c>
      <c r="E22" s="55">
        <v>4.8870271542475878</v>
      </c>
      <c r="F22" s="6">
        <f>E22*C_factor!F20</f>
        <v>3.2937254651539432</v>
      </c>
      <c r="G22" s="56">
        <v>0.97505802804999997</v>
      </c>
      <c r="H22" s="56">
        <v>0.58154259124725771</v>
      </c>
      <c r="I22" s="56">
        <v>0.57969535073114742</v>
      </c>
      <c r="J22" s="6"/>
      <c r="K22" s="6"/>
      <c r="L22" s="6"/>
      <c r="M22" s="6"/>
      <c r="N22" s="6"/>
      <c r="O22" s="6"/>
      <c r="P22" s="6"/>
      <c r="Q22" s="6"/>
      <c r="R22" s="6"/>
      <c r="S22" s="6"/>
      <c r="T22" s="6"/>
      <c r="U22" s="6"/>
    </row>
    <row r="23" spans="1:21" x14ac:dyDescent="0.25">
      <c r="A23" t="s">
        <v>37</v>
      </c>
      <c r="B23">
        <v>-3.8</v>
      </c>
      <c r="C23">
        <f t="shared" si="0"/>
        <v>784.78260869565213</v>
      </c>
      <c r="D23" s="6">
        <f>C_factor!E21*E23</f>
        <v>4.426380828687754</v>
      </c>
      <c r="E23" s="55">
        <v>3.6667813557465592</v>
      </c>
      <c r="F23" s="6">
        <f>E23*C_factor!F21</f>
        <v>2.3572257464282549</v>
      </c>
      <c r="G23" s="56">
        <v>0.74313794517475462</v>
      </c>
      <c r="H23" s="56">
        <v>0.39144095905942294</v>
      </c>
      <c r="I23" s="56">
        <v>0.36757174242013757</v>
      </c>
      <c r="J23" s="6"/>
      <c r="K23" s="6"/>
      <c r="L23" s="6"/>
      <c r="M23" s="6"/>
      <c r="N23" s="6"/>
      <c r="O23" s="6"/>
      <c r="P23" s="6"/>
      <c r="Q23" s="6"/>
      <c r="R23" s="6"/>
      <c r="S23" s="6"/>
      <c r="T23" s="6"/>
      <c r="U23" s="6"/>
    </row>
    <row r="24" spans="1:21" x14ac:dyDescent="0.25">
      <c r="A24" t="s">
        <v>38</v>
      </c>
      <c r="B24">
        <v>-3.4</v>
      </c>
      <c r="C24">
        <f t="shared" si="0"/>
        <v>702.17391304347836</v>
      </c>
      <c r="D24" s="6">
        <f>C_factor!E22*E24</f>
        <v>16.357112482834918</v>
      </c>
      <c r="E24" s="55">
        <v>13.455678426864672</v>
      </c>
      <c r="F24" s="6">
        <f>E24*C_factor!F22</f>
        <v>9.2076234704040889</v>
      </c>
      <c r="G24" s="56">
        <v>1.9792856665563126</v>
      </c>
      <c r="H24" s="56">
        <v>1.211679903505146</v>
      </c>
      <c r="I24" s="56">
        <v>1.1369693645291776</v>
      </c>
      <c r="J24" s="6"/>
      <c r="K24" s="6"/>
      <c r="L24" s="6"/>
      <c r="M24" s="6"/>
      <c r="N24" s="6"/>
      <c r="O24" s="6"/>
      <c r="P24" s="6"/>
      <c r="Q24" s="6"/>
      <c r="R24" s="6"/>
      <c r="S24" s="6"/>
      <c r="T24" s="6"/>
      <c r="U24" s="6"/>
    </row>
    <row r="25" spans="1:21" x14ac:dyDescent="0.25">
      <c r="A25" t="s">
        <v>39</v>
      </c>
      <c r="B25">
        <v>-3.2</v>
      </c>
      <c r="C25">
        <f t="shared" si="0"/>
        <v>660.86956521739137</v>
      </c>
      <c r="D25" s="6">
        <f>C_factor!E23*E25</f>
        <v>15.561337752930244</v>
      </c>
      <c r="E25" s="55">
        <v>13.037670746599709</v>
      </c>
      <c r="F25" s="6">
        <f>E25*C_factor!F23</f>
        <v>8.3571334488605622</v>
      </c>
      <c r="G25" s="56">
        <v>2.1711825702693153</v>
      </c>
      <c r="H25" s="56">
        <v>1.4641743190104772</v>
      </c>
      <c r="I25" s="56">
        <v>1.4488813000368763</v>
      </c>
      <c r="J25" s="6"/>
      <c r="K25" s="6"/>
      <c r="L25" s="6"/>
      <c r="M25" s="6"/>
      <c r="N25" s="6"/>
      <c r="O25" s="6"/>
      <c r="P25" s="6"/>
      <c r="Q25" s="6"/>
      <c r="R25" s="6"/>
      <c r="S25" s="6"/>
      <c r="T25" s="6"/>
      <c r="U25" s="6"/>
    </row>
    <row r="26" spans="1:21" x14ac:dyDescent="0.25">
      <c r="A26" t="s">
        <v>40</v>
      </c>
      <c r="B26">
        <v>-2.1</v>
      </c>
      <c r="C26">
        <f t="shared" si="0"/>
        <v>433.69565217391306</v>
      </c>
      <c r="D26" s="6">
        <f>C_factor!E24*E26</f>
        <v>34.505423002947779</v>
      </c>
      <c r="E26" s="55">
        <v>28.208038926353623</v>
      </c>
      <c r="F26" s="6">
        <f>E26*C_factor!F24</f>
        <v>22.303936630403456</v>
      </c>
      <c r="G26" s="56">
        <v>3.2027663462462987</v>
      </c>
      <c r="H26" s="56">
        <v>2.166063080237032</v>
      </c>
      <c r="I26" s="56">
        <v>2.1177590224831011</v>
      </c>
      <c r="J26" s="6"/>
      <c r="K26" s="6"/>
      <c r="L26" s="6"/>
      <c r="M26" s="6"/>
      <c r="N26" s="6"/>
      <c r="O26" s="6"/>
      <c r="P26" s="6"/>
      <c r="Q26" s="6"/>
      <c r="R26" s="6"/>
      <c r="S26" s="6"/>
      <c r="T26" s="6"/>
      <c r="U26" s="6"/>
    </row>
    <row r="27" spans="1:21" x14ac:dyDescent="0.25">
      <c r="A27" t="s">
        <v>41</v>
      </c>
      <c r="B27">
        <v>-4.5</v>
      </c>
      <c r="C27">
        <f t="shared" si="0"/>
        <v>929.34782608695662</v>
      </c>
      <c r="D27" s="6">
        <f>C_factor!E25*E27</f>
        <v>5.6684108183163158</v>
      </c>
      <c r="E27" s="55">
        <v>4.8945053374076561</v>
      </c>
      <c r="F27" s="6">
        <f>E27*C_factor!F25</f>
        <v>3.4522005188796929</v>
      </c>
      <c r="G27" s="56">
        <v>0.94428551979494968</v>
      </c>
      <c r="H27" s="56">
        <v>0.51206597194621117</v>
      </c>
      <c r="I27" s="56">
        <v>0.49301272289579712</v>
      </c>
      <c r="J27" s="6"/>
      <c r="K27" s="6"/>
      <c r="L27" s="6"/>
      <c r="M27" s="6"/>
      <c r="N27" s="6"/>
      <c r="O27" s="6"/>
      <c r="P27" s="6"/>
      <c r="Q27" s="6"/>
      <c r="R27" s="6"/>
      <c r="S27" s="6"/>
      <c r="T27" s="6"/>
      <c r="U27" s="6"/>
    </row>
    <row r="28" spans="1:21" x14ac:dyDescent="0.25">
      <c r="A28" t="s">
        <v>42</v>
      </c>
      <c r="B28">
        <v>-4.4000000000000004</v>
      </c>
      <c r="C28">
        <f t="shared" si="0"/>
        <v>908.69565217391323</v>
      </c>
      <c r="D28" s="6">
        <f>C_factor!E26*E28</f>
        <v>3.4823777860350305</v>
      </c>
      <c r="E28" s="55">
        <v>2.7909908559288232</v>
      </c>
      <c r="F28" s="6">
        <f>E28*C_factor!F26</f>
        <v>1.9341340845820927</v>
      </c>
      <c r="G28" s="56">
        <v>0.5341205280647715</v>
      </c>
      <c r="H28" s="56">
        <v>0.27893692309076829</v>
      </c>
      <c r="I28" s="56">
        <v>0.26722196072413062</v>
      </c>
      <c r="J28" s="6"/>
      <c r="K28" s="6"/>
      <c r="L28" s="6"/>
      <c r="M28" s="6"/>
      <c r="N28" s="6"/>
      <c r="O28" s="6"/>
      <c r="P28" s="6"/>
      <c r="Q28" s="6"/>
      <c r="R28" s="6"/>
      <c r="S28" s="6"/>
      <c r="T28" s="6"/>
      <c r="U28" s="6"/>
    </row>
    <row r="29" spans="1:21" x14ac:dyDescent="0.25">
      <c r="A29" t="s">
        <v>93</v>
      </c>
      <c r="B29">
        <v>-4.9000000000000004</v>
      </c>
      <c r="C29">
        <f t="shared" si="0"/>
        <v>1011.9565217391305</v>
      </c>
      <c r="D29" s="6">
        <f>C_factor!E27*E29</f>
        <v>1.17924520698992</v>
      </c>
      <c r="E29" s="55">
        <v>1.1736033118601592</v>
      </c>
      <c r="F29" s="6">
        <f>E29*C_factor!F27</f>
        <v>1.1336945758958248</v>
      </c>
      <c r="G29" s="56">
        <v>0.71580884418856405</v>
      </c>
      <c r="H29" s="56">
        <v>0.21992443221560665</v>
      </c>
      <c r="I29" s="56">
        <v>0.17946185292884076</v>
      </c>
      <c r="J29" s="6"/>
      <c r="K29" s="6"/>
      <c r="L29" s="6"/>
      <c r="M29" s="6"/>
      <c r="N29" s="6"/>
      <c r="O29" s="6"/>
      <c r="P29" s="6"/>
      <c r="Q29" s="6"/>
      <c r="R29" s="6"/>
      <c r="S29" s="6"/>
      <c r="T29" s="6"/>
      <c r="U29" s="6"/>
    </row>
    <row r="30" spans="1:21" x14ac:dyDescent="0.25">
      <c r="A30" t="s">
        <v>44</v>
      </c>
      <c r="B30">
        <v>-4.0999999999999996</v>
      </c>
      <c r="C30">
        <f t="shared" si="0"/>
        <v>846.73913043478262</v>
      </c>
      <c r="D30" s="6">
        <f>C_factor!E28*E30</f>
        <v>6.9976903511194894</v>
      </c>
      <c r="E30" s="55">
        <v>5.5960164376529464</v>
      </c>
      <c r="F30" s="6">
        <f>E30*C_factor!F28</f>
        <v>3.9106720677068285</v>
      </c>
      <c r="G30" s="56">
        <v>1.0223152809188456</v>
      </c>
      <c r="H30" s="56">
        <v>0.55922779454517124</v>
      </c>
      <c r="I30" s="56">
        <v>0.52959196845596579</v>
      </c>
      <c r="J30" s="6"/>
      <c r="K30" s="6"/>
      <c r="L30" s="6"/>
      <c r="M30" s="6"/>
      <c r="N30" s="6"/>
      <c r="O30" s="6"/>
      <c r="P30" s="6"/>
      <c r="Q30" s="6"/>
      <c r="R30" s="6"/>
      <c r="S30" s="6"/>
      <c r="T30" s="6"/>
      <c r="U30" s="6"/>
    </row>
    <row r="31" spans="1:21" x14ac:dyDescent="0.25">
      <c r="A31" t="s">
        <v>80</v>
      </c>
      <c r="B31">
        <v>-4.9000000000000004</v>
      </c>
      <c r="C31">
        <f t="shared" si="0"/>
        <v>1011.9565217391305</v>
      </c>
      <c r="D31" s="6">
        <f>C_factor!E29*E31</f>
        <v>1.0286929881665423</v>
      </c>
      <c r="E31" s="55">
        <v>1.0181954934850919</v>
      </c>
      <c r="F31" s="6">
        <f>E31*C_factor!F29</f>
        <v>0.96462864118280278</v>
      </c>
      <c r="G31" s="56">
        <v>0.66283731933223078</v>
      </c>
      <c r="H31" s="56">
        <v>0.22246733798839688</v>
      </c>
      <c r="I31" s="56">
        <v>0.18693047577268113</v>
      </c>
      <c r="J31" s="6"/>
      <c r="K31" s="6"/>
      <c r="L31" s="6"/>
      <c r="M31" s="6"/>
      <c r="N31" s="6"/>
      <c r="O31" s="6"/>
      <c r="P31" s="6"/>
      <c r="Q31" s="6"/>
      <c r="R31" s="6"/>
      <c r="S31" s="6"/>
      <c r="T31" s="6"/>
      <c r="U31" s="6"/>
    </row>
    <row r="32" spans="1:21" x14ac:dyDescent="0.25">
      <c r="A32" t="s">
        <v>81</v>
      </c>
      <c r="B32">
        <v>-4.5</v>
      </c>
      <c r="C32">
        <f t="shared" si="0"/>
        <v>929.34782608695662</v>
      </c>
      <c r="D32" s="6">
        <f>C_factor!E30*E32</f>
        <v>6.9206526129374355</v>
      </c>
      <c r="E32" s="55">
        <v>5.5239572668799806</v>
      </c>
      <c r="F32" s="6">
        <f>E32*C_factor!F30</f>
        <v>3.7310508810561456</v>
      </c>
      <c r="G32" s="56">
        <v>1.0128739407543015</v>
      </c>
      <c r="H32" s="56">
        <v>0.58161711627097812</v>
      </c>
      <c r="I32" s="56">
        <v>0.55524149176478066</v>
      </c>
      <c r="J32" s="6"/>
      <c r="K32" s="6"/>
      <c r="L32" s="6"/>
      <c r="M32" s="6"/>
      <c r="N32" s="6"/>
      <c r="O32" s="6"/>
      <c r="P32" s="6"/>
      <c r="Q32" s="6"/>
      <c r="R32" s="6"/>
      <c r="S32" s="6"/>
      <c r="T32" s="6"/>
      <c r="U32" s="6"/>
    </row>
    <row r="33" spans="1:21" x14ac:dyDescent="0.25">
      <c r="A33" t="s">
        <v>82</v>
      </c>
      <c r="B33">
        <v>-4.5999999999999996</v>
      </c>
      <c r="C33">
        <f>(B33/-4.6)*950</f>
        <v>950</v>
      </c>
      <c r="D33" s="6">
        <f>C_factor!E31*E33</f>
        <v>4.681301877017332</v>
      </c>
      <c r="E33" s="55">
        <v>3.9364226638242465</v>
      </c>
      <c r="F33" s="6">
        <f>E33*C_factor!F31</f>
        <v>2.5223240039642421</v>
      </c>
      <c r="G33" s="56">
        <v>0.871120130385591</v>
      </c>
      <c r="H33" s="56">
        <v>0.4584931716620031</v>
      </c>
      <c r="I33" s="56">
        <v>0.43627652477701473</v>
      </c>
      <c r="J33" s="6"/>
      <c r="K33" s="6"/>
      <c r="L33" s="6"/>
      <c r="M33" s="6"/>
      <c r="N33" s="6"/>
      <c r="O33" s="6"/>
      <c r="P33" s="6"/>
      <c r="Q33" s="6"/>
      <c r="R33" s="6"/>
      <c r="S33" s="6"/>
      <c r="T33" s="6"/>
      <c r="U33" s="6"/>
    </row>
  </sheetData>
  <sheetProtection password="C2EC" sheet="1" objects="1" scenarios="1" selectLockedCells="1" selectUnlockedCells="1"/>
  <mergeCells count="9">
    <mergeCell ref="D1:I1"/>
    <mergeCell ref="J1:O1"/>
    <mergeCell ref="P1:U1"/>
    <mergeCell ref="D2:F2"/>
    <mergeCell ref="G2:I2"/>
    <mergeCell ref="J2:L2"/>
    <mergeCell ref="M2:O2"/>
    <mergeCell ref="P2:R2"/>
    <mergeCell ref="S2:U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tint="-0.89999084444715716"/>
  </sheetPr>
  <dimension ref="A1:AH181"/>
  <sheetViews>
    <sheetView workbookViewId="0">
      <selection activeCell="Z41" sqref="Z41"/>
    </sheetView>
  </sheetViews>
  <sheetFormatPr defaultRowHeight="15" x14ac:dyDescent="0.25"/>
  <cols>
    <col min="6" max="6" width="9.140625" customWidth="1"/>
    <col min="26" max="26" width="12.140625" bestFit="1" customWidth="1"/>
    <col min="27" max="27" width="12.5703125" bestFit="1" customWidth="1"/>
    <col min="28" max="28" width="17.7109375" bestFit="1" customWidth="1"/>
    <col min="29" max="29" width="22.7109375" bestFit="1" customWidth="1"/>
    <col min="30" max="30" width="13.7109375" bestFit="1" customWidth="1"/>
    <col min="31" max="31" width="17.7109375" style="54" bestFit="1" customWidth="1"/>
    <col min="32" max="32" width="13.7109375" style="54" customWidth="1"/>
    <col min="33" max="33" width="14.7109375" bestFit="1" customWidth="1"/>
    <col min="34" max="34" width="17" bestFit="1" customWidth="1"/>
  </cols>
  <sheetData>
    <row r="1" spans="1:34" x14ac:dyDescent="0.25">
      <c r="B1" t="s">
        <v>83</v>
      </c>
      <c r="C1" t="s">
        <v>84</v>
      </c>
      <c r="D1" t="s">
        <v>48</v>
      </c>
      <c r="E1" t="s">
        <v>85</v>
      </c>
      <c r="F1" t="s">
        <v>196</v>
      </c>
      <c r="G1" t="s">
        <v>197</v>
      </c>
      <c r="H1" t="s">
        <v>198</v>
      </c>
      <c r="I1" t="s">
        <v>199</v>
      </c>
      <c r="J1" t="s">
        <v>200</v>
      </c>
      <c r="K1" t="s">
        <v>201</v>
      </c>
      <c r="L1" t="s">
        <v>202</v>
      </c>
      <c r="M1" t="s">
        <v>203</v>
      </c>
      <c r="N1" t="s">
        <v>204</v>
      </c>
      <c r="O1" t="s">
        <v>205</v>
      </c>
      <c r="P1" t="s">
        <v>206</v>
      </c>
      <c r="Q1" t="s">
        <v>207</v>
      </c>
      <c r="R1" t="s">
        <v>208</v>
      </c>
      <c r="S1" t="s">
        <v>209</v>
      </c>
      <c r="T1" t="s">
        <v>210</v>
      </c>
      <c r="U1" t="s">
        <v>211</v>
      </c>
      <c r="V1" t="s">
        <v>212</v>
      </c>
      <c r="W1" t="s">
        <v>213</v>
      </c>
      <c r="X1" t="s">
        <v>214</v>
      </c>
      <c r="Y1" t="s">
        <v>215</v>
      </c>
      <c r="Z1" t="s">
        <v>216</v>
      </c>
      <c r="AB1" t="s">
        <v>222</v>
      </c>
      <c r="AC1" t="s">
        <v>223</v>
      </c>
      <c r="AD1" t="s">
        <v>224</v>
      </c>
      <c r="AE1" s="54" t="s">
        <v>225</v>
      </c>
      <c r="AG1" t="s">
        <v>220</v>
      </c>
      <c r="AH1" t="s">
        <v>221</v>
      </c>
    </row>
    <row r="2" spans="1:34" x14ac:dyDescent="0.25">
      <c r="A2">
        <v>1</v>
      </c>
      <c r="B2">
        <v>2017</v>
      </c>
      <c r="C2">
        <v>73</v>
      </c>
      <c r="D2" t="s">
        <v>87</v>
      </c>
      <c r="E2" t="s">
        <v>292</v>
      </c>
      <c r="F2">
        <v>11.37</v>
      </c>
      <c r="G2" t="s">
        <v>217</v>
      </c>
      <c r="H2">
        <v>1</v>
      </c>
      <c r="I2">
        <v>13</v>
      </c>
      <c r="J2">
        <v>26.659079999999999</v>
      </c>
      <c r="K2">
        <v>2017</v>
      </c>
      <c r="L2">
        <v>10</v>
      </c>
      <c r="M2">
        <f>AG2+AH2</f>
        <v>1755.3043478</v>
      </c>
      <c r="N2">
        <v>1</v>
      </c>
      <c r="O2">
        <v>1</v>
      </c>
      <c r="P2">
        <v>1</v>
      </c>
      <c r="Q2">
        <v>3</v>
      </c>
      <c r="R2">
        <v>5</v>
      </c>
      <c r="S2">
        <v>1</v>
      </c>
      <c r="T2" t="s">
        <v>218</v>
      </c>
      <c r="U2">
        <v>8</v>
      </c>
      <c r="V2">
        <v>75.200918350205114</v>
      </c>
      <c r="X2">
        <v>75.200918350205114</v>
      </c>
      <c r="Y2">
        <v>8</v>
      </c>
      <c r="Z2">
        <v>15.87</v>
      </c>
      <c r="AB2">
        <v>0.21317853951375521</v>
      </c>
      <c r="AC2">
        <f>F2*AB2</f>
        <v>2.4238399942713964</v>
      </c>
      <c r="AD2">
        <v>7.6506713663060104</v>
      </c>
      <c r="AE2" s="54">
        <f>AD2/10</f>
        <v>0.765067136630601</v>
      </c>
      <c r="AG2">
        <v>764</v>
      </c>
      <c r="AH2" s="54">
        <v>991.30434779999996</v>
      </c>
    </row>
    <row r="3" spans="1:34" x14ac:dyDescent="0.25">
      <c r="A3">
        <v>1</v>
      </c>
      <c r="M3" s="54"/>
      <c r="AB3" t="s">
        <v>101</v>
      </c>
      <c r="AC3" s="54" t="e">
        <f t="shared" ref="AC3:AC66" si="0">F3*AB3</f>
        <v>#VALUE!</v>
      </c>
      <c r="AE3" s="54">
        <f t="shared" ref="AE3:AE66" si="1">AD3/10</f>
        <v>0</v>
      </c>
      <c r="AH3" s="54"/>
    </row>
    <row r="4" spans="1:34" x14ac:dyDescent="0.25">
      <c r="A4">
        <v>1</v>
      </c>
      <c r="B4">
        <v>2017</v>
      </c>
      <c r="C4">
        <v>73</v>
      </c>
      <c r="D4" t="s">
        <v>87</v>
      </c>
      <c r="E4" t="s">
        <v>74</v>
      </c>
      <c r="F4">
        <v>11.37</v>
      </c>
      <c r="G4" t="s">
        <v>217</v>
      </c>
      <c r="H4">
        <v>1</v>
      </c>
      <c r="I4">
        <v>13</v>
      </c>
      <c r="J4">
        <v>26.659079999999999</v>
      </c>
      <c r="K4">
        <v>2017</v>
      </c>
      <c r="L4">
        <v>10</v>
      </c>
      <c r="M4" s="54">
        <f>AG4+AH4</f>
        <v>1755.3043478</v>
      </c>
      <c r="N4">
        <v>1</v>
      </c>
      <c r="O4">
        <v>2</v>
      </c>
      <c r="P4">
        <v>1</v>
      </c>
      <c r="Q4">
        <v>3</v>
      </c>
      <c r="R4">
        <v>4</v>
      </c>
      <c r="S4">
        <v>2</v>
      </c>
      <c r="T4" t="s">
        <v>218</v>
      </c>
      <c r="U4">
        <v>5</v>
      </c>
      <c r="V4">
        <v>60.160734680164097</v>
      </c>
      <c r="Y4">
        <v>5</v>
      </c>
      <c r="Z4">
        <v>15.87</v>
      </c>
      <c r="AB4">
        <v>0.21317853951375521</v>
      </c>
      <c r="AC4" s="54">
        <f t="shared" si="0"/>
        <v>2.4238399942713964</v>
      </c>
      <c r="AD4">
        <v>3.9276727459152352</v>
      </c>
      <c r="AE4" s="54">
        <f t="shared" si="1"/>
        <v>0.3927672745915235</v>
      </c>
      <c r="AG4">
        <v>764</v>
      </c>
      <c r="AH4" s="54">
        <v>991.30434779999996</v>
      </c>
    </row>
    <row r="5" spans="1:34" x14ac:dyDescent="0.25">
      <c r="A5">
        <v>1</v>
      </c>
      <c r="M5" s="54"/>
      <c r="AB5" t="s">
        <v>101</v>
      </c>
      <c r="AC5" s="54" t="e">
        <f t="shared" si="0"/>
        <v>#VALUE!</v>
      </c>
      <c r="AE5" s="54">
        <f t="shared" si="1"/>
        <v>0</v>
      </c>
      <c r="AH5" s="54"/>
    </row>
    <row r="6" spans="1:34" x14ac:dyDescent="0.25">
      <c r="A6">
        <v>1</v>
      </c>
      <c r="B6">
        <v>2017</v>
      </c>
      <c r="C6">
        <v>73</v>
      </c>
      <c r="D6" t="s">
        <v>87</v>
      </c>
      <c r="E6" t="s">
        <v>77</v>
      </c>
      <c r="F6">
        <v>11.37</v>
      </c>
      <c r="G6" t="s">
        <v>217</v>
      </c>
      <c r="H6">
        <v>1</v>
      </c>
      <c r="I6">
        <v>13</v>
      </c>
      <c r="J6">
        <v>26.659079999999999</v>
      </c>
      <c r="K6">
        <v>2017</v>
      </c>
      <c r="L6">
        <v>10</v>
      </c>
      <c r="M6" s="54">
        <f>AG6+AH6</f>
        <v>1755.3043478</v>
      </c>
      <c r="N6">
        <v>3</v>
      </c>
      <c r="O6">
        <v>3</v>
      </c>
      <c r="P6">
        <v>1</v>
      </c>
      <c r="Q6">
        <v>3</v>
      </c>
      <c r="R6">
        <v>3</v>
      </c>
      <c r="S6">
        <v>2</v>
      </c>
      <c r="T6" t="s">
        <v>218</v>
      </c>
      <c r="U6">
        <v>2</v>
      </c>
      <c r="V6">
        <v>20</v>
      </c>
      <c r="Y6">
        <v>6</v>
      </c>
      <c r="Z6">
        <v>15.87</v>
      </c>
      <c r="AB6">
        <v>0.21317853951375521</v>
      </c>
      <c r="AC6" s="54">
        <f t="shared" si="0"/>
        <v>2.4238399942713964</v>
      </c>
      <c r="AD6">
        <v>3.8118238861846026</v>
      </c>
      <c r="AE6" s="54">
        <f t="shared" si="1"/>
        <v>0.38118238861846027</v>
      </c>
      <c r="AG6">
        <v>764</v>
      </c>
      <c r="AH6" s="54">
        <v>991.30434779999996</v>
      </c>
    </row>
    <row r="7" spans="1:34" x14ac:dyDescent="0.25">
      <c r="A7">
        <v>1</v>
      </c>
      <c r="M7" s="54"/>
      <c r="AB7" t="s">
        <v>101</v>
      </c>
      <c r="AC7" s="54" t="e">
        <f t="shared" si="0"/>
        <v>#VALUE!</v>
      </c>
      <c r="AE7" s="54">
        <f t="shared" si="1"/>
        <v>0</v>
      </c>
      <c r="AH7" s="54"/>
    </row>
    <row r="8" spans="1:34" x14ac:dyDescent="0.25">
      <c r="A8">
        <v>1</v>
      </c>
      <c r="B8">
        <v>2017</v>
      </c>
      <c r="C8">
        <v>2</v>
      </c>
      <c r="D8" t="s">
        <v>19</v>
      </c>
      <c r="E8" t="s">
        <v>292</v>
      </c>
      <c r="F8">
        <v>16.100000000000001</v>
      </c>
      <c r="G8" t="s">
        <v>219</v>
      </c>
      <c r="H8">
        <v>1</v>
      </c>
      <c r="I8">
        <v>16</v>
      </c>
      <c r="J8">
        <v>23.067900000000002</v>
      </c>
      <c r="K8">
        <v>2017</v>
      </c>
      <c r="L8">
        <v>10</v>
      </c>
      <c r="M8" s="54">
        <f>AG8+AH8</f>
        <v>1556.7391304</v>
      </c>
      <c r="N8">
        <v>1</v>
      </c>
      <c r="O8">
        <v>1</v>
      </c>
      <c r="P8">
        <v>1</v>
      </c>
      <c r="Q8">
        <v>3</v>
      </c>
      <c r="R8">
        <v>5</v>
      </c>
      <c r="S8">
        <v>1</v>
      </c>
      <c r="T8" t="s">
        <v>218</v>
      </c>
      <c r="U8">
        <v>8</v>
      </c>
      <c r="V8">
        <v>31.579359773665992</v>
      </c>
      <c r="X8">
        <v>31.579359773665992</v>
      </c>
      <c r="Y8">
        <v>8</v>
      </c>
      <c r="Z8">
        <v>6.21</v>
      </c>
      <c r="AB8">
        <v>0.21853980049980951</v>
      </c>
      <c r="AC8" s="54">
        <f t="shared" si="0"/>
        <v>3.5184907880469334</v>
      </c>
      <c r="AD8">
        <v>7.7962031326678272</v>
      </c>
      <c r="AE8" s="54">
        <f t="shared" si="1"/>
        <v>0.77962031326678272</v>
      </c>
      <c r="AG8">
        <v>710</v>
      </c>
      <c r="AH8" s="54">
        <v>846.73913040000002</v>
      </c>
    </row>
    <row r="9" spans="1:34" x14ac:dyDescent="0.25">
      <c r="A9">
        <v>1</v>
      </c>
      <c r="M9" s="54"/>
      <c r="AB9" t="s">
        <v>101</v>
      </c>
      <c r="AC9" s="54" t="e">
        <f t="shared" si="0"/>
        <v>#VALUE!</v>
      </c>
      <c r="AE9" s="54">
        <f t="shared" si="1"/>
        <v>0</v>
      </c>
      <c r="AH9" s="54"/>
    </row>
    <row r="10" spans="1:34" x14ac:dyDescent="0.25">
      <c r="A10">
        <v>1</v>
      </c>
      <c r="B10">
        <v>2017</v>
      </c>
      <c r="C10">
        <v>2</v>
      </c>
      <c r="D10" t="s">
        <v>19</v>
      </c>
      <c r="E10" t="s">
        <v>74</v>
      </c>
      <c r="F10">
        <v>16.100000000000001</v>
      </c>
      <c r="G10" t="s">
        <v>219</v>
      </c>
      <c r="H10">
        <v>1</v>
      </c>
      <c r="I10">
        <v>16</v>
      </c>
      <c r="J10">
        <v>23.067900000000002</v>
      </c>
      <c r="K10">
        <v>2017</v>
      </c>
      <c r="L10">
        <v>10</v>
      </c>
      <c r="M10" s="54">
        <f>AG10+AH10</f>
        <v>1556.7391304</v>
      </c>
      <c r="N10">
        <v>1</v>
      </c>
      <c r="O10">
        <v>2</v>
      </c>
      <c r="P10">
        <v>1</v>
      </c>
      <c r="Q10">
        <v>3</v>
      </c>
      <c r="R10">
        <v>4</v>
      </c>
      <c r="S10">
        <v>2</v>
      </c>
      <c r="T10" t="s">
        <v>218</v>
      </c>
      <c r="U10">
        <v>5</v>
      </c>
      <c r="V10">
        <v>25.263487818932795</v>
      </c>
      <c r="Y10">
        <v>5</v>
      </c>
      <c r="Z10">
        <v>6.21</v>
      </c>
      <c r="AB10">
        <v>0.21853980049980951</v>
      </c>
      <c r="AC10" s="54">
        <f t="shared" si="0"/>
        <v>3.5184907880469334</v>
      </c>
      <c r="AD10">
        <v>5.4239345018744469</v>
      </c>
      <c r="AE10" s="54">
        <f t="shared" si="1"/>
        <v>0.54239345018744467</v>
      </c>
      <c r="AG10">
        <v>710</v>
      </c>
      <c r="AH10" s="54">
        <v>846.73913040000002</v>
      </c>
    </row>
    <row r="11" spans="1:34" x14ac:dyDescent="0.25">
      <c r="A11">
        <v>1</v>
      </c>
      <c r="M11" s="54"/>
      <c r="AB11" t="s">
        <v>101</v>
      </c>
      <c r="AC11" s="54" t="e">
        <f t="shared" si="0"/>
        <v>#VALUE!</v>
      </c>
      <c r="AE11" s="54">
        <f t="shared" si="1"/>
        <v>0</v>
      </c>
      <c r="AH11" s="54"/>
    </row>
    <row r="12" spans="1:34" x14ac:dyDescent="0.25">
      <c r="A12">
        <v>1</v>
      </c>
      <c r="B12">
        <v>2017</v>
      </c>
      <c r="C12">
        <v>2</v>
      </c>
      <c r="D12" t="s">
        <v>19</v>
      </c>
      <c r="E12" t="s">
        <v>77</v>
      </c>
      <c r="F12">
        <v>16.100000000000001</v>
      </c>
      <c r="G12" t="s">
        <v>219</v>
      </c>
      <c r="H12">
        <v>1</v>
      </c>
      <c r="I12">
        <v>16</v>
      </c>
      <c r="J12">
        <v>23.067900000000002</v>
      </c>
      <c r="K12">
        <v>2017</v>
      </c>
      <c r="L12">
        <v>10</v>
      </c>
      <c r="M12" s="54">
        <f>AG12+AH12</f>
        <v>1556.7391304</v>
      </c>
      <c r="N12">
        <v>3</v>
      </c>
      <c r="O12">
        <v>3</v>
      </c>
      <c r="P12">
        <v>1</v>
      </c>
      <c r="Q12">
        <v>3</v>
      </c>
      <c r="R12">
        <v>3</v>
      </c>
      <c r="S12">
        <v>2</v>
      </c>
      <c r="T12" t="s">
        <v>218</v>
      </c>
      <c r="U12">
        <v>2</v>
      </c>
      <c r="V12">
        <v>20</v>
      </c>
      <c r="Y12">
        <v>6</v>
      </c>
      <c r="Z12">
        <v>6.21</v>
      </c>
      <c r="AB12">
        <v>0.21853980049980951</v>
      </c>
      <c r="AC12" s="54">
        <f t="shared" si="0"/>
        <v>3.5184907880469334</v>
      </c>
      <c r="AD12">
        <v>5.6813278081271239</v>
      </c>
      <c r="AE12" s="54">
        <f t="shared" si="1"/>
        <v>0.56813278081271235</v>
      </c>
      <c r="AG12">
        <v>710</v>
      </c>
      <c r="AH12" s="54">
        <v>846.73913040000002</v>
      </c>
    </row>
    <row r="13" spans="1:34" x14ac:dyDescent="0.25">
      <c r="A13">
        <v>1</v>
      </c>
      <c r="M13" s="54"/>
      <c r="AB13" t="s">
        <v>101</v>
      </c>
      <c r="AC13" s="54" t="e">
        <f t="shared" si="0"/>
        <v>#VALUE!</v>
      </c>
      <c r="AE13" s="54">
        <f t="shared" si="1"/>
        <v>0</v>
      </c>
      <c r="AH13" s="54"/>
    </row>
    <row r="14" spans="1:34" x14ac:dyDescent="0.25">
      <c r="A14">
        <v>1</v>
      </c>
      <c r="B14">
        <v>2017</v>
      </c>
      <c r="C14">
        <v>79</v>
      </c>
      <c r="D14" t="s">
        <v>20</v>
      </c>
      <c r="E14" t="s">
        <v>292</v>
      </c>
      <c r="F14">
        <v>265.41000000000003</v>
      </c>
      <c r="G14" t="s">
        <v>217</v>
      </c>
      <c r="H14">
        <v>2</v>
      </c>
      <c r="I14">
        <v>3</v>
      </c>
      <c r="J14">
        <v>24.04486</v>
      </c>
      <c r="K14">
        <v>2017</v>
      </c>
      <c r="L14">
        <v>10</v>
      </c>
      <c r="M14" s="54">
        <f>AG14+AH14</f>
        <v>1193.6521739</v>
      </c>
      <c r="N14">
        <v>1</v>
      </c>
      <c r="O14">
        <v>1</v>
      </c>
      <c r="P14">
        <v>1</v>
      </c>
      <c r="Q14">
        <v>4</v>
      </c>
      <c r="R14">
        <v>5</v>
      </c>
      <c r="S14">
        <v>1</v>
      </c>
      <c r="T14" t="s">
        <v>218</v>
      </c>
      <c r="U14">
        <v>8</v>
      </c>
      <c r="V14">
        <v>82.64315848764285</v>
      </c>
      <c r="X14">
        <v>82.64315848764285</v>
      </c>
      <c r="Y14">
        <v>8</v>
      </c>
      <c r="Z14">
        <v>44.39</v>
      </c>
      <c r="AB14">
        <v>0.23088407799953375</v>
      </c>
      <c r="AC14" s="54">
        <f t="shared" si="0"/>
        <v>61.27894314185626</v>
      </c>
      <c r="AD14">
        <v>64.434881124700055</v>
      </c>
      <c r="AE14" s="54">
        <f t="shared" si="1"/>
        <v>6.4434881124700052</v>
      </c>
      <c r="AG14">
        <v>698</v>
      </c>
      <c r="AH14" s="54">
        <v>495.65217389999998</v>
      </c>
    </row>
    <row r="15" spans="1:34" x14ac:dyDescent="0.25">
      <c r="A15">
        <v>1</v>
      </c>
      <c r="M15" s="54"/>
      <c r="AB15" t="s">
        <v>101</v>
      </c>
      <c r="AC15" s="54" t="e">
        <f t="shared" si="0"/>
        <v>#VALUE!</v>
      </c>
      <c r="AE15" s="54">
        <f t="shared" si="1"/>
        <v>0</v>
      </c>
      <c r="AH15" s="54"/>
    </row>
    <row r="16" spans="1:34" x14ac:dyDescent="0.25">
      <c r="A16">
        <v>1</v>
      </c>
      <c r="B16">
        <v>2017</v>
      </c>
      <c r="C16">
        <v>79</v>
      </c>
      <c r="D16" t="s">
        <v>20</v>
      </c>
      <c r="E16" t="s">
        <v>74</v>
      </c>
      <c r="F16">
        <v>265.41000000000003</v>
      </c>
      <c r="G16" t="s">
        <v>217</v>
      </c>
      <c r="H16">
        <v>2</v>
      </c>
      <c r="I16">
        <v>3</v>
      </c>
      <c r="J16">
        <v>24.04486</v>
      </c>
      <c r="K16">
        <v>2017</v>
      </c>
      <c r="L16">
        <v>10</v>
      </c>
      <c r="M16" s="54">
        <f>AG16+AH16</f>
        <v>1193.6521739</v>
      </c>
      <c r="N16">
        <v>1</v>
      </c>
      <c r="O16">
        <v>2</v>
      </c>
      <c r="P16">
        <v>1</v>
      </c>
      <c r="Q16">
        <v>4</v>
      </c>
      <c r="R16">
        <v>4</v>
      </c>
      <c r="S16">
        <v>2</v>
      </c>
      <c r="T16" t="s">
        <v>218</v>
      </c>
      <c r="U16">
        <v>5</v>
      </c>
      <c r="V16">
        <v>66.114526790114283</v>
      </c>
      <c r="Y16">
        <v>5</v>
      </c>
      <c r="Z16">
        <v>44.39</v>
      </c>
      <c r="AB16">
        <v>0.23088407799953375</v>
      </c>
      <c r="AC16" s="54">
        <f t="shared" si="0"/>
        <v>61.27894314185626</v>
      </c>
      <c r="AD16">
        <v>45.83716320760854</v>
      </c>
      <c r="AE16" s="54">
        <f t="shared" si="1"/>
        <v>4.5837163207608542</v>
      </c>
      <c r="AG16">
        <v>698</v>
      </c>
      <c r="AH16" s="54">
        <v>495.65217389999998</v>
      </c>
    </row>
    <row r="17" spans="1:34" x14ac:dyDescent="0.25">
      <c r="A17">
        <v>1</v>
      </c>
      <c r="M17" s="54"/>
      <c r="AB17" t="s">
        <v>101</v>
      </c>
      <c r="AC17" s="54" t="e">
        <f t="shared" si="0"/>
        <v>#VALUE!</v>
      </c>
      <c r="AE17" s="54">
        <f t="shared" si="1"/>
        <v>0</v>
      </c>
      <c r="AH17" s="54"/>
    </row>
    <row r="18" spans="1:34" x14ac:dyDescent="0.25">
      <c r="A18">
        <v>1</v>
      </c>
      <c r="B18">
        <v>2017</v>
      </c>
      <c r="C18">
        <v>79</v>
      </c>
      <c r="D18" t="s">
        <v>20</v>
      </c>
      <c r="E18" t="s">
        <v>77</v>
      </c>
      <c r="F18">
        <v>265.41000000000003</v>
      </c>
      <c r="G18" t="s">
        <v>217</v>
      </c>
      <c r="H18">
        <v>2</v>
      </c>
      <c r="I18">
        <v>3</v>
      </c>
      <c r="J18">
        <v>24.04486</v>
      </c>
      <c r="K18">
        <v>2017</v>
      </c>
      <c r="L18">
        <v>10</v>
      </c>
      <c r="M18" s="54">
        <f>AG18+AH18</f>
        <v>1193.6521739</v>
      </c>
      <c r="N18">
        <v>3</v>
      </c>
      <c r="O18">
        <v>3</v>
      </c>
      <c r="P18">
        <v>1</v>
      </c>
      <c r="Q18">
        <v>4</v>
      </c>
      <c r="R18">
        <v>3</v>
      </c>
      <c r="S18">
        <v>2</v>
      </c>
      <c r="T18" t="s">
        <v>218</v>
      </c>
      <c r="U18">
        <v>2</v>
      </c>
      <c r="V18">
        <v>20</v>
      </c>
      <c r="Y18">
        <v>6</v>
      </c>
      <c r="Z18">
        <v>44.39</v>
      </c>
      <c r="AB18">
        <v>0.23088407799953375</v>
      </c>
      <c r="AC18" s="54">
        <f t="shared" si="0"/>
        <v>61.27894314185626</v>
      </c>
      <c r="AD18">
        <v>45.313028376408084</v>
      </c>
      <c r="AE18" s="54">
        <f t="shared" si="1"/>
        <v>4.5313028376408084</v>
      </c>
      <c r="AG18">
        <v>698</v>
      </c>
      <c r="AH18" s="54">
        <v>495.65217389999998</v>
      </c>
    </row>
    <row r="19" spans="1:34" x14ac:dyDescent="0.25">
      <c r="A19">
        <v>1</v>
      </c>
      <c r="M19" s="54"/>
      <c r="AB19" t="s">
        <v>101</v>
      </c>
      <c r="AC19" s="54" t="e">
        <f t="shared" si="0"/>
        <v>#VALUE!</v>
      </c>
      <c r="AE19" s="54">
        <f t="shared" si="1"/>
        <v>0</v>
      </c>
      <c r="AH19" s="54"/>
    </row>
    <row r="20" spans="1:34" x14ac:dyDescent="0.25">
      <c r="A20">
        <v>1</v>
      </c>
      <c r="B20">
        <v>2017</v>
      </c>
      <c r="C20">
        <v>77</v>
      </c>
      <c r="D20" t="s">
        <v>21</v>
      </c>
      <c r="E20" t="s">
        <v>292</v>
      </c>
      <c r="F20">
        <v>15.7</v>
      </c>
      <c r="G20" t="s">
        <v>217</v>
      </c>
      <c r="H20">
        <v>1</v>
      </c>
      <c r="I20">
        <v>12</v>
      </c>
      <c r="J20">
        <v>30.828199999999999</v>
      </c>
      <c r="K20">
        <v>2017</v>
      </c>
      <c r="L20">
        <v>10</v>
      </c>
      <c r="M20" s="54">
        <f>AG20+AH20</f>
        <v>1583.0434783000001</v>
      </c>
      <c r="N20">
        <v>1</v>
      </c>
      <c r="O20">
        <v>1</v>
      </c>
      <c r="P20">
        <v>1</v>
      </c>
      <c r="Q20">
        <v>3</v>
      </c>
      <c r="R20">
        <v>5</v>
      </c>
      <c r="S20">
        <v>1</v>
      </c>
      <c r="T20" t="s">
        <v>218</v>
      </c>
      <c r="U20">
        <v>8</v>
      </c>
      <c r="V20">
        <v>62.438076111232874</v>
      </c>
      <c r="X20">
        <v>62.438076111232874</v>
      </c>
      <c r="Y20">
        <v>8</v>
      </c>
      <c r="Z20">
        <v>24.15</v>
      </c>
      <c r="AB20">
        <v>0.21778347879909227</v>
      </c>
      <c r="AC20" s="54">
        <f t="shared" si="0"/>
        <v>3.4192006171457483</v>
      </c>
      <c r="AD20">
        <v>8.8119975137598896</v>
      </c>
      <c r="AE20" s="54">
        <f t="shared" si="1"/>
        <v>0.88119975137598894</v>
      </c>
      <c r="AG20">
        <v>695</v>
      </c>
      <c r="AH20" s="54">
        <v>888.04347829999995</v>
      </c>
    </row>
    <row r="21" spans="1:34" x14ac:dyDescent="0.25">
      <c r="A21">
        <v>1</v>
      </c>
      <c r="M21" s="54"/>
      <c r="AB21" t="s">
        <v>101</v>
      </c>
      <c r="AC21" s="54" t="e">
        <f t="shared" si="0"/>
        <v>#VALUE!</v>
      </c>
      <c r="AE21" s="54">
        <f t="shared" si="1"/>
        <v>0</v>
      </c>
      <c r="AH21" s="54"/>
    </row>
    <row r="22" spans="1:34" x14ac:dyDescent="0.25">
      <c r="A22">
        <v>1</v>
      </c>
      <c r="B22">
        <v>2017</v>
      </c>
      <c r="C22">
        <v>77</v>
      </c>
      <c r="D22" t="s">
        <v>21</v>
      </c>
      <c r="E22" t="s">
        <v>74</v>
      </c>
      <c r="F22">
        <v>15.7</v>
      </c>
      <c r="G22" t="s">
        <v>217</v>
      </c>
      <c r="H22">
        <v>1</v>
      </c>
      <c r="I22">
        <v>12</v>
      </c>
      <c r="J22">
        <v>30.828199999999999</v>
      </c>
      <c r="K22">
        <v>2017</v>
      </c>
      <c r="L22">
        <v>10</v>
      </c>
      <c r="M22" s="54">
        <f>AG22+AH22</f>
        <v>1583.0434783000001</v>
      </c>
      <c r="N22">
        <v>1</v>
      </c>
      <c r="O22">
        <v>2</v>
      </c>
      <c r="P22">
        <v>1</v>
      </c>
      <c r="Q22">
        <v>3</v>
      </c>
      <c r="R22">
        <v>4</v>
      </c>
      <c r="S22">
        <v>2</v>
      </c>
      <c r="T22" t="s">
        <v>218</v>
      </c>
      <c r="U22">
        <v>5</v>
      </c>
      <c r="V22">
        <v>49.950460888986299</v>
      </c>
      <c r="Y22">
        <v>5</v>
      </c>
      <c r="Z22">
        <v>24.15</v>
      </c>
      <c r="AB22">
        <v>0.21778347879909227</v>
      </c>
      <c r="AC22" s="54">
        <f t="shared" si="0"/>
        <v>3.4192006171457483</v>
      </c>
      <c r="AD22">
        <v>5.0541790562729654</v>
      </c>
      <c r="AE22" s="54">
        <f t="shared" si="1"/>
        <v>0.50541790562729649</v>
      </c>
      <c r="AG22">
        <v>695</v>
      </c>
      <c r="AH22" s="54">
        <v>888.04347829999995</v>
      </c>
    </row>
    <row r="23" spans="1:34" x14ac:dyDescent="0.25">
      <c r="A23">
        <v>1</v>
      </c>
      <c r="M23" s="54"/>
      <c r="AB23" t="s">
        <v>101</v>
      </c>
      <c r="AC23" s="54" t="e">
        <f t="shared" si="0"/>
        <v>#VALUE!</v>
      </c>
      <c r="AE23" s="54">
        <f t="shared" si="1"/>
        <v>0</v>
      </c>
      <c r="AH23" s="54"/>
    </row>
    <row r="24" spans="1:34" x14ac:dyDescent="0.25">
      <c r="A24">
        <v>1</v>
      </c>
      <c r="B24">
        <v>2017</v>
      </c>
      <c r="C24">
        <v>77</v>
      </c>
      <c r="D24" t="s">
        <v>21</v>
      </c>
      <c r="E24" t="s">
        <v>77</v>
      </c>
      <c r="F24">
        <v>15.7</v>
      </c>
      <c r="G24" t="s">
        <v>217</v>
      </c>
      <c r="H24">
        <v>1</v>
      </c>
      <c r="I24">
        <v>12</v>
      </c>
      <c r="J24">
        <v>30.828199999999999</v>
      </c>
      <c r="K24">
        <v>2017</v>
      </c>
      <c r="L24">
        <v>10</v>
      </c>
      <c r="M24" s="54">
        <f>AG24+AH24</f>
        <v>1583.0434783000001</v>
      </c>
      <c r="N24">
        <v>3</v>
      </c>
      <c r="O24">
        <v>3</v>
      </c>
      <c r="P24">
        <v>1</v>
      </c>
      <c r="Q24">
        <v>3</v>
      </c>
      <c r="R24">
        <v>3</v>
      </c>
      <c r="S24">
        <v>2</v>
      </c>
      <c r="T24" t="s">
        <v>218</v>
      </c>
      <c r="U24">
        <v>2</v>
      </c>
      <c r="V24">
        <v>20</v>
      </c>
      <c r="Y24">
        <v>6</v>
      </c>
      <c r="Z24">
        <v>24.15</v>
      </c>
      <c r="AB24">
        <v>0.21778347879909227</v>
      </c>
      <c r="AC24" s="54">
        <f t="shared" si="0"/>
        <v>3.4192006171457483</v>
      </c>
      <c r="AD24">
        <v>4.9799644307683817</v>
      </c>
      <c r="AE24" s="54">
        <f t="shared" si="1"/>
        <v>0.49799644307683816</v>
      </c>
      <c r="AG24">
        <v>695</v>
      </c>
      <c r="AH24" s="54">
        <v>888.04347829999995</v>
      </c>
    </row>
    <row r="25" spans="1:34" x14ac:dyDescent="0.25">
      <c r="A25">
        <v>1</v>
      </c>
      <c r="M25" s="54"/>
      <c r="AB25" t="s">
        <v>101</v>
      </c>
      <c r="AC25" s="54" t="e">
        <f t="shared" si="0"/>
        <v>#VALUE!</v>
      </c>
      <c r="AE25" s="54">
        <f t="shared" si="1"/>
        <v>0</v>
      </c>
      <c r="AH25" s="54"/>
    </row>
    <row r="26" spans="1:34" x14ac:dyDescent="0.25">
      <c r="A26">
        <v>1</v>
      </c>
      <c r="B26">
        <v>2017</v>
      </c>
      <c r="C26">
        <v>51</v>
      </c>
      <c r="D26" t="s">
        <v>22</v>
      </c>
      <c r="E26" t="s">
        <v>292</v>
      </c>
      <c r="F26">
        <v>28.96</v>
      </c>
      <c r="G26" t="s">
        <v>217</v>
      </c>
      <c r="H26">
        <v>2</v>
      </c>
      <c r="I26">
        <v>5</v>
      </c>
      <c r="J26">
        <v>11.6724</v>
      </c>
      <c r="K26">
        <v>2017</v>
      </c>
      <c r="L26">
        <v>10</v>
      </c>
      <c r="M26" s="54">
        <f>AG26+AH26</f>
        <v>1824.0434783000001</v>
      </c>
      <c r="N26">
        <v>1</v>
      </c>
      <c r="O26">
        <v>1</v>
      </c>
      <c r="P26">
        <v>1</v>
      </c>
      <c r="Q26">
        <v>4</v>
      </c>
      <c r="R26">
        <v>5</v>
      </c>
      <c r="S26">
        <v>1</v>
      </c>
      <c r="T26" t="s">
        <v>218</v>
      </c>
      <c r="U26">
        <v>8</v>
      </c>
      <c r="V26">
        <v>84.984021800775452</v>
      </c>
      <c r="X26">
        <v>84.984021800775452</v>
      </c>
      <c r="Y26">
        <v>8</v>
      </c>
      <c r="Z26">
        <v>10.119999999999999</v>
      </c>
      <c r="AB26">
        <v>0.21149096557264443</v>
      </c>
      <c r="AC26" s="54">
        <f t="shared" si="0"/>
        <v>6.1247783629837826</v>
      </c>
      <c r="AD26">
        <v>9.0508507359958568</v>
      </c>
      <c r="AE26" s="54">
        <f t="shared" si="1"/>
        <v>0.90508507359958568</v>
      </c>
      <c r="AG26">
        <v>936</v>
      </c>
      <c r="AH26" s="54">
        <v>888.04347829999995</v>
      </c>
    </row>
    <row r="27" spans="1:34" x14ac:dyDescent="0.25">
      <c r="A27">
        <v>1</v>
      </c>
      <c r="M27" s="54"/>
      <c r="AB27" t="s">
        <v>101</v>
      </c>
      <c r="AC27" s="54" t="e">
        <f t="shared" si="0"/>
        <v>#VALUE!</v>
      </c>
      <c r="AE27" s="54">
        <f t="shared" si="1"/>
        <v>0</v>
      </c>
      <c r="AH27" s="54"/>
    </row>
    <row r="28" spans="1:34" x14ac:dyDescent="0.25">
      <c r="A28">
        <v>1</v>
      </c>
      <c r="B28">
        <v>2017</v>
      </c>
      <c r="C28">
        <v>51</v>
      </c>
      <c r="D28" t="s">
        <v>22</v>
      </c>
      <c r="E28" t="s">
        <v>74</v>
      </c>
      <c r="F28">
        <v>28.96</v>
      </c>
      <c r="G28" t="s">
        <v>217</v>
      </c>
      <c r="H28">
        <v>2</v>
      </c>
      <c r="I28">
        <v>5</v>
      </c>
      <c r="J28">
        <v>11.6724</v>
      </c>
      <c r="K28">
        <v>2017</v>
      </c>
      <c r="L28">
        <v>10</v>
      </c>
      <c r="M28" s="54">
        <f>AG28+AH28</f>
        <v>1824.0434783000001</v>
      </c>
      <c r="N28">
        <v>1</v>
      </c>
      <c r="O28">
        <v>2</v>
      </c>
      <c r="P28">
        <v>1</v>
      </c>
      <c r="Q28">
        <v>4</v>
      </c>
      <c r="R28">
        <v>4</v>
      </c>
      <c r="S28">
        <v>2</v>
      </c>
      <c r="T28" t="s">
        <v>218</v>
      </c>
      <c r="U28">
        <v>5</v>
      </c>
      <c r="V28">
        <v>67.987217440620356</v>
      </c>
      <c r="Y28">
        <v>5</v>
      </c>
      <c r="Z28">
        <v>10.119999999999999</v>
      </c>
      <c r="AB28">
        <v>0.21149096557264443</v>
      </c>
      <c r="AC28" s="54">
        <f t="shared" si="0"/>
        <v>6.1247783629837826</v>
      </c>
      <c r="AD28">
        <v>5.4477199139384442</v>
      </c>
      <c r="AE28" s="54">
        <f t="shared" si="1"/>
        <v>0.54477199139384447</v>
      </c>
      <c r="AG28">
        <v>936</v>
      </c>
      <c r="AH28" s="54">
        <v>888.04347829999995</v>
      </c>
    </row>
    <row r="29" spans="1:34" x14ac:dyDescent="0.25">
      <c r="A29">
        <v>1</v>
      </c>
      <c r="M29" s="54"/>
      <c r="AB29" t="s">
        <v>101</v>
      </c>
      <c r="AC29" s="54" t="e">
        <f t="shared" si="0"/>
        <v>#VALUE!</v>
      </c>
      <c r="AE29" s="54">
        <f t="shared" si="1"/>
        <v>0</v>
      </c>
      <c r="AH29" s="54"/>
    </row>
    <row r="30" spans="1:34" x14ac:dyDescent="0.25">
      <c r="A30">
        <v>1</v>
      </c>
      <c r="B30">
        <v>2017</v>
      </c>
      <c r="C30">
        <v>51</v>
      </c>
      <c r="D30" t="s">
        <v>22</v>
      </c>
      <c r="E30" t="s">
        <v>77</v>
      </c>
      <c r="F30">
        <v>28.96</v>
      </c>
      <c r="G30" t="s">
        <v>217</v>
      </c>
      <c r="H30">
        <v>2</v>
      </c>
      <c r="I30">
        <v>5</v>
      </c>
      <c r="J30">
        <v>11.6724</v>
      </c>
      <c r="K30">
        <v>2017</v>
      </c>
      <c r="L30">
        <v>10</v>
      </c>
      <c r="M30" s="54">
        <f>AG30+AH30</f>
        <v>1824.0434783000001</v>
      </c>
      <c r="N30">
        <v>3</v>
      </c>
      <c r="O30">
        <v>3</v>
      </c>
      <c r="P30">
        <v>1</v>
      </c>
      <c r="Q30">
        <v>4</v>
      </c>
      <c r="R30">
        <v>3</v>
      </c>
      <c r="S30">
        <v>2</v>
      </c>
      <c r="T30" t="s">
        <v>218</v>
      </c>
      <c r="U30">
        <v>2</v>
      </c>
      <c r="V30">
        <v>20</v>
      </c>
      <c r="Y30">
        <v>6</v>
      </c>
      <c r="Z30">
        <v>10.119999999999999</v>
      </c>
      <c r="AB30">
        <v>0.21149096557264443</v>
      </c>
      <c r="AC30" s="54">
        <f t="shared" si="0"/>
        <v>6.1247783629837826</v>
      </c>
      <c r="AD30">
        <v>5.28728105830763</v>
      </c>
      <c r="AE30" s="54">
        <f t="shared" si="1"/>
        <v>0.52872810583076302</v>
      </c>
      <c r="AG30">
        <v>936</v>
      </c>
      <c r="AH30" s="54">
        <v>888.04347829999995</v>
      </c>
    </row>
    <row r="31" spans="1:34" x14ac:dyDescent="0.25">
      <c r="A31">
        <v>1</v>
      </c>
      <c r="M31" s="54"/>
      <c r="AB31" t="s">
        <v>101</v>
      </c>
      <c r="AC31" s="54" t="e">
        <f t="shared" si="0"/>
        <v>#VALUE!</v>
      </c>
      <c r="AE31" s="54">
        <f t="shared" si="1"/>
        <v>0</v>
      </c>
      <c r="AH31" s="54"/>
    </row>
    <row r="32" spans="1:34" x14ac:dyDescent="0.25">
      <c r="A32">
        <v>1</v>
      </c>
      <c r="B32">
        <v>2017</v>
      </c>
      <c r="C32">
        <v>49</v>
      </c>
      <c r="D32" t="s">
        <v>23</v>
      </c>
      <c r="E32" t="s">
        <v>292</v>
      </c>
      <c r="F32">
        <v>9.48</v>
      </c>
      <c r="G32" t="s">
        <v>99</v>
      </c>
      <c r="H32">
        <v>1</v>
      </c>
      <c r="I32">
        <v>19</v>
      </c>
      <c r="J32">
        <v>26.298399999999997</v>
      </c>
      <c r="K32">
        <v>2017</v>
      </c>
      <c r="L32">
        <v>10</v>
      </c>
      <c r="M32" s="54">
        <f>AG32+AH32</f>
        <v>1589.3913043</v>
      </c>
      <c r="N32">
        <v>1</v>
      </c>
      <c r="O32">
        <v>1</v>
      </c>
      <c r="P32">
        <v>1</v>
      </c>
      <c r="Q32">
        <v>3</v>
      </c>
      <c r="R32">
        <v>5</v>
      </c>
      <c r="S32">
        <v>1</v>
      </c>
      <c r="T32" t="s">
        <v>218</v>
      </c>
      <c r="U32">
        <v>8</v>
      </c>
      <c r="V32">
        <v>68.611104624820655</v>
      </c>
      <c r="X32">
        <v>68.611104624820655</v>
      </c>
      <c r="Y32">
        <v>8</v>
      </c>
      <c r="Z32">
        <v>32.89</v>
      </c>
      <c r="AB32">
        <v>0.21760323159989725</v>
      </c>
      <c r="AC32" s="54">
        <f t="shared" si="0"/>
        <v>2.0628786355670261</v>
      </c>
      <c r="AD32">
        <v>10.289613008060506</v>
      </c>
      <c r="AE32" s="54">
        <f t="shared" si="1"/>
        <v>1.0289613008060505</v>
      </c>
      <c r="AG32">
        <v>722</v>
      </c>
      <c r="AH32" s="54">
        <v>867.3913043</v>
      </c>
    </row>
    <row r="33" spans="1:34" x14ac:dyDescent="0.25">
      <c r="A33">
        <v>1</v>
      </c>
      <c r="M33" s="54"/>
      <c r="AB33" t="s">
        <v>101</v>
      </c>
      <c r="AC33" s="54" t="e">
        <f t="shared" si="0"/>
        <v>#VALUE!</v>
      </c>
      <c r="AE33" s="54">
        <f t="shared" si="1"/>
        <v>0</v>
      </c>
      <c r="AH33" s="54"/>
    </row>
    <row r="34" spans="1:34" x14ac:dyDescent="0.25">
      <c r="A34">
        <v>1</v>
      </c>
      <c r="B34">
        <v>2017</v>
      </c>
      <c r="C34">
        <v>49</v>
      </c>
      <c r="D34" t="s">
        <v>23</v>
      </c>
      <c r="E34" t="s">
        <v>74</v>
      </c>
      <c r="F34">
        <v>9.48</v>
      </c>
      <c r="G34" t="s">
        <v>99</v>
      </c>
      <c r="H34">
        <v>1</v>
      </c>
      <c r="I34">
        <v>19</v>
      </c>
      <c r="J34">
        <v>26.298399999999997</v>
      </c>
      <c r="K34">
        <v>2017</v>
      </c>
      <c r="L34">
        <v>10</v>
      </c>
      <c r="M34" s="54">
        <f>AG34+AH34</f>
        <v>1589.3913043</v>
      </c>
      <c r="N34">
        <v>1</v>
      </c>
      <c r="O34">
        <v>2</v>
      </c>
      <c r="P34">
        <v>1</v>
      </c>
      <c r="Q34">
        <v>3</v>
      </c>
      <c r="R34">
        <v>4</v>
      </c>
      <c r="S34">
        <v>2</v>
      </c>
      <c r="T34" t="s">
        <v>218</v>
      </c>
      <c r="U34">
        <v>5</v>
      </c>
      <c r="V34">
        <v>54.888883699856528</v>
      </c>
      <c r="Y34">
        <v>5</v>
      </c>
      <c r="Z34">
        <v>32.89</v>
      </c>
      <c r="AB34">
        <v>0.21760323159989725</v>
      </c>
      <c r="AC34" s="54">
        <f t="shared" si="0"/>
        <v>2.0628786355670261</v>
      </c>
      <c r="AD34">
        <v>4.8409839569559159</v>
      </c>
      <c r="AE34" s="54">
        <f t="shared" si="1"/>
        <v>0.4840983956955916</v>
      </c>
      <c r="AG34">
        <v>722</v>
      </c>
      <c r="AH34" s="54">
        <v>867.3913043</v>
      </c>
    </row>
    <row r="35" spans="1:34" x14ac:dyDescent="0.25">
      <c r="A35">
        <v>1</v>
      </c>
      <c r="M35" s="54"/>
      <c r="AB35" t="s">
        <v>101</v>
      </c>
      <c r="AC35" s="54" t="e">
        <f t="shared" si="0"/>
        <v>#VALUE!</v>
      </c>
      <c r="AE35" s="54">
        <f t="shared" si="1"/>
        <v>0</v>
      </c>
      <c r="AH35" s="54"/>
    </row>
    <row r="36" spans="1:34" x14ac:dyDescent="0.25">
      <c r="A36">
        <v>1</v>
      </c>
      <c r="B36">
        <v>2017</v>
      </c>
      <c r="C36">
        <v>49</v>
      </c>
      <c r="D36" t="s">
        <v>23</v>
      </c>
      <c r="E36" t="s">
        <v>77</v>
      </c>
      <c r="F36">
        <v>9.48</v>
      </c>
      <c r="G36" t="s">
        <v>99</v>
      </c>
      <c r="H36">
        <v>1</v>
      </c>
      <c r="I36">
        <v>19</v>
      </c>
      <c r="J36">
        <v>26.298399999999997</v>
      </c>
      <c r="K36">
        <v>2017</v>
      </c>
      <c r="L36">
        <v>10</v>
      </c>
      <c r="M36" s="54">
        <f>AG36+AH36</f>
        <v>1589.3913043</v>
      </c>
      <c r="N36">
        <v>3</v>
      </c>
      <c r="O36">
        <v>3</v>
      </c>
      <c r="P36">
        <v>1</v>
      </c>
      <c r="Q36">
        <v>3</v>
      </c>
      <c r="R36">
        <v>3</v>
      </c>
      <c r="S36">
        <v>2</v>
      </c>
      <c r="T36" t="s">
        <v>218</v>
      </c>
      <c r="U36">
        <v>2</v>
      </c>
      <c r="V36">
        <v>20</v>
      </c>
      <c r="Y36">
        <v>6</v>
      </c>
      <c r="Z36">
        <v>32.89</v>
      </c>
      <c r="AB36">
        <v>0.21760323159989725</v>
      </c>
      <c r="AC36" s="54">
        <f t="shared" si="0"/>
        <v>2.0628786355670261</v>
      </c>
      <c r="AD36">
        <v>4.2469178627347075</v>
      </c>
      <c r="AE36" s="54">
        <f t="shared" si="1"/>
        <v>0.42469178627347076</v>
      </c>
      <c r="AG36">
        <v>722</v>
      </c>
      <c r="AH36" s="54">
        <v>867.3913043</v>
      </c>
    </row>
    <row r="37" spans="1:34" x14ac:dyDescent="0.25">
      <c r="A37">
        <v>1</v>
      </c>
      <c r="M37" s="54"/>
      <c r="AB37" t="s">
        <v>101</v>
      </c>
      <c r="AC37" s="54" t="e">
        <f t="shared" si="0"/>
        <v>#VALUE!</v>
      </c>
      <c r="AE37" s="54">
        <f t="shared" si="1"/>
        <v>0</v>
      </c>
      <c r="AH37" s="54"/>
    </row>
    <row r="38" spans="1:34" x14ac:dyDescent="0.25">
      <c r="A38">
        <v>1</v>
      </c>
      <c r="B38">
        <v>2017</v>
      </c>
      <c r="C38">
        <v>37</v>
      </c>
      <c r="D38" t="s">
        <v>88</v>
      </c>
      <c r="E38" t="s">
        <v>292</v>
      </c>
      <c r="F38">
        <v>17.37</v>
      </c>
      <c r="G38" t="s">
        <v>217</v>
      </c>
      <c r="H38">
        <v>3</v>
      </c>
      <c r="I38">
        <v>5</v>
      </c>
      <c r="J38">
        <v>16.535899999999998</v>
      </c>
      <c r="K38">
        <v>2017</v>
      </c>
      <c r="L38">
        <v>10</v>
      </c>
      <c r="M38" s="54">
        <f>AG38+AH38</f>
        <v>1895</v>
      </c>
      <c r="N38">
        <v>1</v>
      </c>
      <c r="O38">
        <v>1</v>
      </c>
      <c r="P38">
        <v>1</v>
      </c>
      <c r="Q38">
        <v>4</v>
      </c>
      <c r="R38">
        <v>5</v>
      </c>
      <c r="S38">
        <v>1</v>
      </c>
      <c r="T38" t="s">
        <v>218</v>
      </c>
      <c r="U38">
        <v>8</v>
      </c>
      <c r="V38">
        <v>87.931611261293796</v>
      </c>
      <c r="X38">
        <v>87.931611261293796</v>
      </c>
      <c r="Y38">
        <v>8</v>
      </c>
      <c r="Z38">
        <v>7.13</v>
      </c>
      <c r="AB38">
        <v>0.20982761949243967</v>
      </c>
      <c r="AC38" s="54">
        <f t="shared" si="0"/>
        <v>3.6447057505836771</v>
      </c>
      <c r="AD38">
        <v>6.3309621508054796</v>
      </c>
      <c r="AE38" s="54">
        <f t="shared" si="1"/>
        <v>0.63309621508054792</v>
      </c>
      <c r="AG38">
        <v>945</v>
      </c>
      <c r="AH38" s="54">
        <v>950</v>
      </c>
    </row>
    <row r="39" spans="1:34" x14ac:dyDescent="0.25">
      <c r="A39">
        <v>1</v>
      </c>
      <c r="M39" s="54"/>
      <c r="AB39" t="s">
        <v>101</v>
      </c>
      <c r="AC39" s="54" t="e">
        <f t="shared" si="0"/>
        <v>#VALUE!</v>
      </c>
      <c r="AE39" s="54">
        <f t="shared" si="1"/>
        <v>0</v>
      </c>
      <c r="AH39" s="54"/>
    </row>
    <row r="40" spans="1:34" x14ac:dyDescent="0.25">
      <c r="A40">
        <v>1</v>
      </c>
      <c r="B40">
        <v>2017</v>
      </c>
      <c r="C40">
        <v>37</v>
      </c>
      <c r="D40" t="s">
        <v>88</v>
      </c>
      <c r="E40" t="s">
        <v>74</v>
      </c>
      <c r="F40">
        <v>17.37</v>
      </c>
      <c r="G40" t="s">
        <v>217</v>
      </c>
      <c r="H40">
        <v>3</v>
      </c>
      <c r="I40">
        <v>5</v>
      </c>
      <c r="J40">
        <v>16.535899999999998</v>
      </c>
      <c r="K40">
        <v>2017</v>
      </c>
      <c r="L40">
        <v>10</v>
      </c>
      <c r="M40" s="54">
        <f>AG40+AH40</f>
        <v>1895</v>
      </c>
      <c r="N40">
        <v>1</v>
      </c>
      <c r="O40">
        <v>2</v>
      </c>
      <c r="P40">
        <v>1</v>
      </c>
      <c r="Q40">
        <v>4</v>
      </c>
      <c r="R40">
        <v>4</v>
      </c>
      <c r="S40">
        <v>2</v>
      </c>
      <c r="T40" t="s">
        <v>218</v>
      </c>
      <c r="U40">
        <v>5</v>
      </c>
      <c r="V40">
        <v>70.345289009035042</v>
      </c>
      <c r="Y40">
        <v>5</v>
      </c>
      <c r="Z40">
        <v>7.13</v>
      </c>
      <c r="AB40">
        <v>0.20982761949243967</v>
      </c>
      <c r="AC40" s="54">
        <f t="shared" si="0"/>
        <v>3.6447057505836771</v>
      </c>
      <c r="AD40">
        <v>3.5037324487988308</v>
      </c>
      <c r="AE40" s="54">
        <f t="shared" si="1"/>
        <v>0.35037324487988308</v>
      </c>
      <c r="AG40">
        <v>945</v>
      </c>
      <c r="AH40" s="54">
        <v>950</v>
      </c>
    </row>
    <row r="41" spans="1:34" x14ac:dyDescent="0.25">
      <c r="A41">
        <v>1</v>
      </c>
      <c r="M41" s="54"/>
      <c r="AB41" t="s">
        <v>101</v>
      </c>
      <c r="AC41" s="54" t="e">
        <f t="shared" si="0"/>
        <v>#VALUE!</v>
      </c>
      <c r="AE41" s="54">
        <f t="shared" si="1"/>
        <v>0</v>
      </c>
      <c r="AH41" s="54"/>
    </row>
    <row r="42" spans="1:34" x14ac:dyDescent="0.25">
      <c r="A42">
        <v>1</v>
      </c>
      <c r="B42">
        <v>2017</v>
      </c>
      <c r="C42">
        <v>37</v>
      </c>
      <c r="D42" t="s">
        <v>88</v>
      </c>
      <c r="E42" t="s">
        <v>77</v>
      </c>
      <c r="F42">
        <v>17.37</v>
      </c>
      <c r="G42" t="s">
        <v>217</v>
      </c>
      <c r="H42">
        <v>3</v>
      </c>
      <c r="I42">
        <v>5</v>
      </c>
      <c r="J42">
        <v>16.535899999999998</v>
      </c>
      <c r="K42">
        <v>2017</v>
      </c>
      <c r="L42">
        <v>10</v>
      </c>
      <c r="M42" s="54">
        <f>AG42+AH42</f>
        <v>1895</v>
      </c>
      <c r="N42">
        <v>3</v>
      </c>
      <c r="O42">
        <v>3</v>
      </c>
      <c r="P42">
        <v>1</v>
      </c>
      <c r="Q42">
        <v>4</v>
      </c>
      <c r="R42">
        <v>3</v>
      </c>
      <c r="S42">
        <v>2</v>
      </c>
      <c r="T42" t="s">
        <v>218</v>
      </c>
      <c r="U42">
        <v>2</v>
      </c>
      <c r="V42">
        <v>20</v>
      </c>
      <c r="Y42">
        <v>6</v>
      </c>
      <c r="Z42">
        <v>7.13</v>
      </c>
      <c r="AB42">
        <v>0.20982761949243967</v>
      </c>
      <c r="AC42" s="54">
        <f t="shared" si="0"/>
        <v>3.6447057505836771</v>
      </c>
      <c r="AD42">
        <v>3.3919263503072505</v>
      </c>
      <c r="AE42" s="54">
        <f t="shared" si="1"/>
        <v>0.33919263503072505</v>
      </c>
      <c r="AG42">
        <v>945</v>
      </c>
      <c r="AH42" s="54">
        <v>950</v>
      </c>
    </row>
    <row r="43" spans="1:34" x14ac:dyDescent="0.25">
      <c r="A43">
        <v>1</v>
      </c>
      <c r="M43" s="54"/>
      <c r="AB43" t="s">
        <v>101</v>
      </c>
      <c r="AC43" s="54" t="e">
        <f t="shared" si="0"/>
        <v>#VALUE!</v>
      </c>
      <c r="AE43" s="54">
        <f t="shared" si="1"/>
        <v>0</v>
      </c>
      <c r="AH43" s="54"/>
    </row>
    <row r="44" spans="1:34" x14ac:dyDescent="0.25">
      <c r="A44">
        <v>1</v>
      </c>
      <c r="B44">
        <v>2017</v>
      </c>
      <c r="C44">
        <v>75</v>
      </c>
      <c r="D44" t="s">
        <v>89</v>
      </c>
      <c r="E44" t="s">
        <v>292</v>
      </c>
      <c r="F44">
        <v>20.85</v>
      </c>
      <c r="G44" t="s">
        <v>217</v>
      </c>
      <c r="H44">
        <v>2</v>
      </c>
      <c r="I44">
        <v>6</v>
      </c>
      <c r="J44">
        <v>23.479699999999998</v>
      </c>
      <c r="K44">
        <v>2017</v>
      </c>
      <c r="L44">
        <v>10</v>
      </c>
      <c r="M44" s="54">
        <f>AG44+AH44</f>
        <v>1950.6521739</v>
      </c>
      <c r="N44">
        <v>1</v>
      </c>
      <c r="O44">
        <v>1</v>
      </c>
      <c r="P44">
        <v>1</v>
      </c>
      <c r="Q44">
        <v>4</v>
      </c>
      <c r="R44">
        <v>5</v>
      </c>
      <c r="S44">
        <v>1</v>
      </c>
      <c r="T44" t="s">
        <v>218</v>
      </c>
      <c r="U44">
        <v>8</v>
      </c>
      <c r="V44">
        <v>95.842827130197392</v>
      </c>
      <c r="X44">
        <v>95.842827130197392</v>
      </c>
      <c r="Y44">
        <v>8</v>
      </c>
      <c r="Z44">
        <v>7.59</v>
      </c>
      <c r="AB44">
        <v>0.20857477891740414</v>
      </c>
      <c r="AC44" s="54">
        <f t="shared" si="0"/>
        <v>4.3487841404278766</v>
      </c>
      <c r="AD44">
        <v>8.1856941025800776</v>
      </c>
      <c r="AE44" s="54">
        <f t="shared" si="1"/>
        <v>0.81856941025800778</v>
      </c>
      <c r="AG44">
        <v>980</v>
      </c>
      <c r="AH44" s="54">
        <v>970.65217389999998</v>
      </c>
    </row>
    <row r="45" spans="1:34" x14ac:dyDescent="0.25">
      <c r="A45">
        <v>1</v>
      </c>
      <c r="M45" s="54"/>
      <c r="AB45" t="s">
        <v>101</v>
      </c>
      <c r="AC45" s="54" t="e">
        <f t="shared" si="0"/>
        <v>#VALUE!</v>
      </c>
      <c r="AE45" s="54">
        <f t="shared" si="1"/>
        <v>0</v>
      </c>
      <c r="AH45" s="54"/>
    </row>
    <row r="46" spans="1:34" x14ac:dyDescent="0.25">
      <c r="A46">
        <v>1</v>
      </c>
      <c r="B46">
        <v>2017</v>
      </c>
      <c r="C46">
        <v>75</v>
      </c>
      <c r="D46" t="s">
        <v>89</v>
      </c>
      <c r="E46" t="s">
        <v>74</v>
      </c>
      <c r="F46">
        <v>20.85</v>
      </c>
      <c r="G46" t="s">
        <v>217</v>
      </c>
      <c r="H46">
        <v>2</v>
      </c>
      <c r="I46">
        <v>6</v>
      </c>
      <c r="J46">
        <v>23.479699999999998</v>
      </c>
      <c r="K46">
        <v>2017</v>
      </c>
      <c r="L46">
        <v>10</v>
      </c>
      <c r="M46" s="54">
        <f>AG46+AH46</f>
        <v>1950.6521739</v>
      </c>
      <c r="N46">
        <v>1</v>
      </c>
      <c r="O46">
        <v>2</v>
      </c>
      <c r="P46">
        <v>1</v>
      </c>
      <c r="Q46">
        <v>4</v>
      </c>
      <c r="R46">
        <v>4</v>
      </c>
      <c r="S46">
        <v>2</v>
      </c>
      <c r="T46" t="s">
        <v>218</v>
      </c>
      <c r="U46">
        <v>5</v>
      </c>
      <c r="V46">
        <v>76.674261704157914</v>
      </c>
      <c r="Y46">
        <v>5</v>
      </c>
      <c r="Z46">
        <v>7.59</v>
      </c>
      <c r="AB46">
        <v>0.20857477891740414</v>
      </c>
      <c r="AC46" s="54">
        <f t="shared" si="0"/>
        <v>4.3487841404278766</v>
      </c>
      <c r="AD46">
        <v>4.5513303312907585</v>
      </c>
      <c r="AE46" s="54">
        <f t="shared" si="1"/>
        <v>0.45513303312907583</v>
      </c>
      <c r="AG46">
        <v>980</v>
      </c>
      <c r="AH46" s="54">
        <v>970.65217389999998</v>
      </c>
    </row>
    <row r="47" spans="1:34" x14ac:dyDescent="0.25">
      <c r="A47">
        <v>1</v>
      </c>
      <c r="M47" s="54"/>
      <c r="AB47" t="s">
        <v>101</v>
      </c>
      <c r="AC47" s="54" t="e">
        <f t="shared" si="0"/>
        <v>#VALUE!</v>
      </c>
      <c r="AE47" s="54">
        <f t="shared" si="1"/>
        <v>0</v>
      </c>
      <c r="AH47" s="54"/>
    </row>
    <row r="48" spans="1:34" x14ac:dyDescent="0.25">
      <c r="A48">
        <v>1</v>
      </c>
      <c r="B48">
        <v>2017</v>
      </c>
      <c r="C48">
        <v>75</v>
      </c>
      <c r="D48" t="s">
        <v>89</v>
      </c>
      <c r="E48" t="s">
        <v>77</v>
      </c>
      <c r="F48">
        <v>20.85</v>
      </c>
      <c r="G48" t="s">
        <v>217</v>
      </c>
      <c r="H48">
        <v>2</v>
      </c>
      <c r="I48">
        <v>6</v>
      </c>
      <c r="J48">
        <v>23.479699999999998</v>
      </c>
      <c r="K48">
        <v>2017</v>
      </c>
      <c r="L48">
        <v>10</v>
      </c>
      <c r="M48" s="54">
        <f>AG48+AH48</f>
        <v>1950.6521739</v>
      </c>
      <c r="N48">
        <v>3</v>
      </c>
      <c r="O48">
        <v>3</v>
      </c>
      <c r="P48">
        <v>1</v>
      </c>
      <c r="Q48">
        <v>4</v>
      </c>
      <c r="R48">
        <v>3</v>
      </c>
      <c r="S48">
        <v>2</v>
      </c>
      <c r="T48" t="s">
        <v>218</v>
      </c>
      <c r="U48">
        <v>2</v>
      </c>
      <c r="V48">
        <v>20</v>
      </c>
      <c r="Y48">
        <v>6</v>
      </c>
      <c r="Z48">
        <v>7.59</v>
      </c>
      <c r="AB48">
        <v>0.20857477891740414</v>
      </c>
      <c r="AC48" s="54">
        <f t="shared" si="0"/>
        <v>4.3487841404278766</v>
      </c>
      <c r="AD48">
        <v>4.4348038778108929</v>
      </c>
      <c r="AE48" s="54">
        <f t="shared" si="1"/>
        <v>0.44348038778108928</v>
      </c>
      <c r="AG48">
        <v>980</v>
      </c>
      <c r="AH48" s="54">
        <v>970.65217389999998</v>
      </c>
    </row>
    <row r="49" spans="1:34" x14ac:dyDescent="0.25">
      <c r="A49">
        <v>1</v>
      </c>
      <c r="M49" s="54"/>
      <c r="AB49" t="s">
        <v>101</v>
      </c>
      <c r="AC49" s="54" t="e">
        <f t="shared" si="0"/>
        <v>#VALUE!</v>
      </c>
      <c r="AE49" s="54">
        <f t="shared" si="1"/>
        <v>0</v>
      </c>
      <c r="AH49" s="54"/>
    </row>
    <row r="50" spans="1:34" x14ac:dyDescent="0.25">
      <c r="A50">
        <v>1</v>
      </c>
      <c r="B50">
        <v>2017</v>
      </c>
      <c r="C50">
        <v>3</v>
      </c>
      <c r="D50" t="s">
        <v>26</v>
      </c>
      <c r="E50" t="s">
        <v>292</v>
      </c>
      <c r="F50">
        <v>18.02</v>
      </c>
      <c r="G50" t="s">
        <v>217</v>
      </c>
      <c r="H50">
        <v>2</v>
      </c>
      <c r="I50">
        <v>7</v>
      </c>
      <c r="J50">
        <v>21.207699999999999</v>
      </c>
      <c r="K50">
        <v>2017</v>
      </c>
      <c r="L50">
        <v>10</v>
      </c>
      <c r="M50" s="54">
        <f>AG50+AH50</f>
        <v>1854.3478261</v>
      </c>
      <c r="N50">
        <v>1</v>
      </c>
      <c r="O50">
        <v>1</v>
      </c>
      <c r="P50">
        <v>1</v>
      </c>
      <c r="Q50">
        <v>3</v>
      </c>
      <c r="R50">
        <v>5</v>
      </c>
      <c r="S50">
        <v>1</v>
      </c>
      <c r="T50" t="s">
        <v>218</v>
      </c>
      <c r="U50">
        <v>8</v>
      </c>
      <c r="V50">
        <v>80.575610348656213</v>
      </c>
      <c r="X50">
        <v>80.575610348656213</v>
      </c>
      <c r="Y50">
        <v>8</v>
      </c>
      <c r="Z50">
        <v>2.99</v>
      </c>
      <c r="AB50">
        <v>0.21077118674558701</v>
      </c>
      <c r="AC50" s="54">
        <f t="shared" si="0"/>
        <v>3.7980967851554777</v>
      </c>
      <c r="AD50">
        <v>7.7158188850145102</v>
      </c>
      <c r="AE50" s="54">
        <f t="shared" si="1"/>
        <v>0.77158188850145104</v>
      </c>
      <c r="AG50">
        <v>925</v>
      </c>
      <c r="AH50" s="54">
        <v>929.34782610000002</v>
      </c>
    </row>
    <row r="51" spans="1:34" x14ac:dyDescent="0.25">
      <c r="A51">
        <v>1</v>
      </c>
      <c r="M51" s="54"/>
      <c r="AB51" t="s">
        <v>101</v>
      </c>
      <c r="AC51" s="54" t="e">
        <f t="shared" si="0"/>
        <v>#VALUE!</v>
      </c>
      <c r="AE51" s="54">
        <f t="shared" si="1"/>
        <v>0</v>
      </c>
      <c r="AH51" s="54"/>
    </row>
    <row r="52" spans="1:34" x14ac:dyDescent="0.25">
      <c r="A52">
        <v>1</v>
      </c>
      <c r="B52">
        <v>2017</v>
      </c>
      <c r="C52">
        <v>3</v>
      </c>
      <c r="D52" t="s">
        <v>26</v>
      </c>
      <c r="E52" t="s">
        <v>74</v>
      </c>
      <c r="F52">
        <v>18.02</v>
      </c>
      <c r="G52" t="s">
        <v>217</v>
      </c>
      <c r="H52">
        <v>2</v>
      </c>
      <c r="I52">
        <v>7</v>
      </c>
      <c r="J52">
        <v>21.207699999999999</v>
      </c>
      <c r="K52">
        <v>2017</v>
      </c>
      <c r="L52">
        <v>10</v>
      </c>
      <c r="M52" s="54">
        <f>AG52+AH52</f>
        <v>1854.3478261</v>
      </c>
      <c r="N52">
        <v>1</v>
      </c>
      <c r="O52">
        <v>2</v>
      </c>
      <c r="P52">
        <v>1</v>
      </c>
      <c r="Q52">
        <v>3</v>
      </c>
      <c r="R52">
        <v>4</v>
      </c>
      <c r="S52">
        <v>2</v>
      </c>
      <c r="T52" t="s">
        <v>218</v>
      </c>
      <c r="U52">
        <v>5</v>
      </c>
      <c r="V52">
        <v>64.46048827892497</v>
      </c>
      <c r="Y52">
        <v>5</v>
      </c>
      <c r="Z52">
        <v>2.99</v>
      </c>
      <c r="AB52">
        <v>0.21077118674558701</v>
      </c>
      <c r="AC52" s="54">
        <f t="shared" si="0"/>
        <v>3.7980967851554777</v>
      </c>
      <c r="AD52">
        <v>4.1714262631685344</v>
      </c>
      <c r="AE52" s="54">
        <f t="shared" si="1"/>
        <v>0.41714262631685345</v>
      </c>
      <c r="AG52">
        <v>925</v>
      </c>
      <c r="AH52" s="54">
        <v>929.34782610000002</v>
      </c>
    </row>
    <row r="53" spans="1:34" x14ac:dyDescent="0.25">
      <c r="A53">
        <v>1</v>
      </c>
      <c r="M53" s="54"/>
      <c r="AB53" t="s">
        <v>101</v>
      </c>
      <c r="AC53" s="54" t="e">
        <f t="shared" si="0"/>
        <v>#VALUE!</v>
      </c>
      <c r="AE53" s="54">
        <f t="shared" si="1"/>
        <v>0</v>
      </c>
      <c r="AH53" s="54"/>
    </row>
    <row r="54" spans="1:34" x14ac:dyDescent="0.25">
      <c r="A54">
        <v>1</v>
      </c>
      <c r="B54">
        <v>2017</v>
      </c>
      <c r="C54">
        <v>3</v>
      </c>
      <c r="D54" t="s">
        <v>26</v>
      </c>
      <c r="E54" t="s">
        <v>77</v>
      </c>
      <c r="F54">
        <v>18.02</v>
      </c>
      <c r="G54" t="s">
        <v>217</v>
      </c>
      <c r="H54">
        <v>2</v>
      </c>
      <c r="I54">
        <v>7</v>
      </c>
      <c r="J54">
        <v>21.207699999999999</v>
      </c>
      <c r="K54">
        <v>2017</v>
      </c>
      <c r="L54">
        <v>10</v>
      </c>
      <c r="M54" s="54">
        <f>AG54+AH54</f>
        <v>1854.3478261</v>
      </c>
      <c r="N54">
        <v>3</v>
      </c>
      <c r="O54">
        <v>3</v>
      </c>
      <c r="P54">
        <v>1</v>
      </c>
      <c r="Q54">
        <v>3</v>
      </c>
      <c r="R54">
        <v>3</v>
      </c>
      <c r="S54">
        <v>2</v>
      </c>
      <c r="T54" t="s">
        <v>218</v>
      </c>
      <c r="U54">
        <v>2</v>
      </c>
      <c r="V54">
        <v>20</v>
      </c>
      <c r="Y54">
        <v>6</v>
      </c>
      <c r="Z54">
        <v>2.99</v>
      </c>
      <c r="AB54">
        <v>0.21077118674558701</v>
      </c>
      <c r="AC54" s="54">
        <f t="shared" si="0"/>
        <v>3.7980967851554777</v>
      </c>
      <c r="AD54">
        <v>4.224392159915018</v>
      </c>
      <c r="AE54" s="54">
        <f t="shared" si="1"/>
        <v>0.4224392159915018</v>
      </c>
      <c r="AG54">
        <v>925</v>
      </c>
      <c r="AH54" s="54">
        <v>929.34782610000002</v>
      </c>
    </row>
    <row r="55" spans="1:34" x14ac:dyDescent="0.25">
      <c r="A55">
        <v>1</v>
      </c>
      <c r="M55" s="54"/>
      <c r="AB55" t="s">
        <v>101</v>
      </c>
      <c r="AC55" s="54" t="e">
        <f t="shared" si="0"/>
        <v>#VALUE!</v>
      </c>
      <c r="AE55" s="54">
        <f t="shared" si="1"/>
        <v>0</v>
      </c>
      <c r="AH55" s="54"/>
    </row>
    <row r="56" spans="1:34" x14ac:dyDescent="0.25">
      <c r="A56">
        <v>1</v>
      </c>
      <c r="B56">
        <v>2017</v>
      </c>
      <c r="C56">
        <v>67</v>
      </c>
      <c r="D56" t="s">
        <v>27</v>
      </c>
      <c r="E56" t="s">
        <v>292</v>
      </c>
      <c r="F56">
        <v>25.25</v>
      </c>
      <c r="G56" t="s">
        <v>217</v>
      </c>
      <c r="H56">
        <v>2</v>
      </c>
      <c r="I56">
        <v>5</v>
      </c>
      <c r="J56">
        <v>10.784899999999999</v>
      </c>
      <c r="K56">
        <v>2017</v>
      </c>
      <c r="L56">
        <v>10</v>
      </c>
      <c r="M56" s="54">
        <f>AG56+AH56</f>
        <v>1721.4347825999998</v>
      </c>
      <c r="N56">
        <v>1</v>
      </c>
      <c r="O56">
        <v>1</v>
      </c>
      <c r="P56">
        <v>1</v>
      </c>
      <c r="Q56">
        <v>4</v>
      </c>
      <c r="R56">
        <v>5</v>
      </c>
      <c r="S56">
        <v>1</v>
      </c>
      <c r="T56" t="s">
        <v>218</v>
      </c>
      <c r="U56">
        <v>8</v>
      </c>
      <c r="V56">
        <v>88.858237675602041</v>
      </c>
      <c r="X56">
        <v>88.858237675602041</v>
      </c>
      <c r="Y56">
        <v>8</v>
      </c>
      <c r="Z56">
        <v>20.93</v>
      </c>
      <c r="AB56">
        <v>0.2140396540028042</v>
      </c>
      <c r="AC56" s="54">
        <f t="shared" si="0"/>
        <v>5.4045012635708058</v>
      </c>
      <c r="AD56">
        <v>8.3833013646810191</v>
      </c>
      <c r="AE56" s="54">
        <f t="shared" si="1"/>
        <v>0.83833013646810195</v>
      </c>
      <c r="AG56">
        <v>916</v>
      </c>
      <c r="AH56" s="54">
        <v>805.43478259999995</v>
      </c>
    </row>
    <row r="57" spans="1:34" x14ac:dyDescent="0.25">
      <c r="A57">
        <v>1</v>
      </c>
      <c r="M57" s="54"/>
      <c r="AB57" t="s">
        <v>101</v>
      </c>
      <c r="AC57" s="54" t="e">
        <f t="shared" si="0"/>
        <v>#VALUE!</v>
      </c>
      <c r="AE57" s="54">
        <f t="shared" si="1"/>
        <v>0</v>
      </c>
      <c r="AH57" s="54"/>
    </row>
    <row r="58" spans="1:34" x14ac:dyDescent="0.25">
      <c r="A58">
        <v>1</v>
      </c>
      <c r="B58">
        <v>2017</v>
      </c>
      <c r="C58">
        <v>67</v>
      </c>
      <c r="D58" t="s">
        <v>27</v>
      </c>
      <c r="E58" t="s">
        <v>74</v>
      </c>
      <c r="F58">
        <v>25.25</v>
      </c>
      <c r="G58" t="s">
        <v>217</v>
      </c>
      <c r="H58">
        <v>2</v>
      </c>
      <c r="I58">
        <v>5</v>
      </c>
      <c r="J58">
        <v>10.784899999999999</v>
      </c>
      <c r="K58">
        <v>2017</v>
      </c>
      <c r="L58">
        <v>10</v>
      </c>
      <c r="M58" s="54">
        <f>AG58+AH58</f>
        <v>1721.4347825999998</v>
      </c>
      <c r="N58">
        <v>1</v>
      </c>
      <c r="O58">
        <v>2</v>
      </c>
      <c r="P58">
        <v>1</v>
      </c>
      <c r="Q58">
        <v>4</v>
      </c>
      <c r="R58">
        <v>4</v>
      </c>
      <c r="S58">
        <v>2</v>
      </c>
      <c r="T58" t="s">
        <v>218</v>
      </c>
      <c r="U58">
        <v>5</v>
      </c>
      <c r="V58">
        <v>71.086590140481633</v>
      </c>
      <c r="Y58">
        <v>5</v>
      </c>
      <c r="Z58">
        <v>20.93</v>
      </c>
      <c r="AB58">
        <v>0.2140396540028042</v>
      </c>
      <c r="AC58" s="54">
        <f t="shared" si="0"/>
        <v>5.4045012635708058</v>
      </c>
      <c r="AD58">
        <v>4.8928932385040813</v>
      </c>
      <c r="AE58" s="54">
        <f t="shared" si="1"/>
        <v>0.48928932385040813</v>
      </c>
      <c r="AG58">
        <v>916</v>
      </c>
      <c r="AH58" s="54">
        <v>805.43478259999995</v>
      </c>
    </row>
    <row r="59" spans="1:34" x14ac:dyDescent="0.25">
      <c r="A59">
        <v>1</v>
      </c>
      <c r="M59" s="54"/>
      <c r="AB59" t="s">
        <v>101</v>
      </c>
      <c r="AC59" s="54" t="e">
        <f t="shared" si="0"/>
        <v>#VALUE!</v>
      </c>
      <c r="AE59" s="54">
        <f t="shared" si="1"/>
        <v>0</v>
      </c>
      <c r="AH59" s="54"/>
    </row>
    <row r="60" spans="1:34" x14ac:dyDescent="0.25">
      <c r="A60">
        <v>1</v>
      </c>
      <c r="B60">
        <v>2017</v>
      </c>
      <c r="C60">
        <v>67</v>
      </c>
      <c r="D60" t="s">
        <v>27</v>
      </c>
      <c r="E60" t="s">
        <v>77</v>
      </c>
      <c r="F60">
        <v>25.25</v>
      </c>
      <c r="G60" t="s">
        <v>217</v>
      </c>
      <c r="H60">
        <v>2</v>
      </c>
      <c r="I60">
        <v>5</v>
      </c>
      <c r="J60">
        <v>10.784899999999999</v>
      </c>
      <c r="K60">
        <v>2017</v>
      </c>
      <c r="L60">
        <v>10</v>
      </c>
      <c r="M60" s="54">
        <f>AG60+AH60</f>
        <v>1721.4347825999998</v>
      </c>
      <c r="N60">
        <v>3</v>
      </c>
      <c r="O60">
        <v>3</v>
      </c>
      <c r="P60">
        <v>1</v>
      </c>
      <c r="Q60">
        <v>4</v>
      </c>
      <c r="R60">
        <v>3</v>
      </c>
      <c r="S60">
        <v>2</v>
      </c>
      <c r="T60" t="s">
        <v>218</v>
      </c>
      <c r="U60">
        <v>2</v>
      </c>
      <c r="V60">
        <v>60</v>
      </c>
      <c r="Y60">
        <v>6</v>
      </c>
      <c r="Z60">
        <v>20.93</v>
      </c>
      <c r="AB60">
        <v>0.2140396540028042</v>
      </c>
      <c r="AC60" s="54">
        <f t="shared" si="0"/>
        <v>5.4045012635708058</v>
      </c>
      <c r="AD60">
        <v>4.7897581796512352</v>
      </c>
      <c r="AE60" s="54">
        <f t="shared" si="1"/>
        <v>0.47897581796512351</v>
      </c>
      <c r="AG60">
        <v>916</v>
      </c>
      <c r="AH60" s="54">
        <v>805.43478259999995</v>
      </c>
    </row>
    <row r="61" spans="1:34" x14ac:dyDescent="0.25">
      <c r="A61">
        <v>1</v>
      </c>
      <c r="M61" s="54"/>
      <c r="AB61" t="s">
        <v>101</v>
      </c>
      <c r="AC61" s="54" t="e">
        <f t="shared" si="0"/>
        <v>#VALUE!</v>
      </c>
      <c r="AE61" s="54">
        <f t="shared" si="1"/>
        <v>0</v>
      </c>
      <c r="AH61" s="54"/>
    </row>
    <row r="62" spans="1:34" x14ac:dyDescent="0.25">
      <c r="A62">
        <v>1</v>
      </c>
      <c r="B62">
        <v>2017</v>
      </c>
      <c r="C62">
        <v>60</v>
      </c>
      <c r="D62" t="s">
        <v>28</v>
      </c>
      <c r="E62" t="s">
        <v>292</v>
      </c>
      <c r="F62">
        <v>5.1100000000000003</v>
      </c>
      <c r="G62" t="s">
        <v>217</v>
      </c>
      <c r="H62">
        <v>3</v>
      </c>
      <c r="I62">
        <v>8</v>
      </c>
      <c r="J62">
        <v>13.234399999999999</v>
      </c>
      <c r="K62">
        <v>2017</v>
      </c>
      <c r="L62">
        <v>10</v>
      </c>
      <c r="M62" s="54">
        <f>AG62+AH62</f>
        <v>1985.3043478</v>
      </c>
      <c r="N62">
        <v>1</v>
      </c>
      <c r="O62">
        <v>1</v>
      </c>
      <c r="P62">
        <v>1</v>
      </c>
      <c r="Q62">
        <v>3</v>
      </c>
      <c r="R62">
        <v>5</v>
      </c>
      <c r="S62">
        <v>1</v>
      </c>
      <c r="T62" t="s">
        <v>218</v>
      </c>
      <c r="U62">
        <v>8</v>
      </c>
      <c r="V62">
        <v>60.756146640832881</v>
      </c>
      <c r="X62">
        <v>60.756146640832881</v>
      </c>
      <c r="Y62">
        <v>8</v>
      </c>
      <c r="Z62">
        <v>1.84</v>
      </c>
      <c r="AB62">
        <v>0.20781628374036559</v>
      </c>
      <c r="AC62" s="54">
        <f t="shared" si="0"/>
        <v>1.0619412099132683</v>
      </c>
      <c r="AD62">
        <v>3.6096113503053573</v>
      </c>
      <c r="AE62" s="54">
        <f t="shared" si="1"/>
        <v>0.36096113503053573</v>
      </c>
      <c r="AG62">
        <v>994</v>
      </c>
      <c r="AH62" s="54">
        <v>991.30434779999996</v>
      </c>
    </row>
    <row r="63" spans="1:34" x14ac:dyDescent="0.25">
      <c r="A63">
        <v>1</v>
      </c>
      <c r="M63" s="54"/>
      <c r="AB63" t="s">
        <v>101</v>
      </c>
      <c r="AC63" s="54" t="e">
        <f t="shared" si="0"/>
        <v>#VALUE!</v>
      </c>
      <c r="AE63" s="54">
        <f t="shared" si="1"/>
        <v>0</v>
      </c>
      <c r="AH63" s="54"/>
    </row>
    <row r="64" spans="1:34" x14ac:dyDescent="0.25">
      <c r="A64">
        <v>1</v>
      </c>
      <c r="B64">
        <v>2017</v>
      </c>
      <c r="C64">
        <v>60</v>
      </c>
      <c r="D64" t="s">
        <v>28</v>
      </c>
      <c r="E64" t="s">
        <v>74</v>
      </c>
      <c r="F64">
        <v>5.1100000000000003</v>
      </c>
      <c r="G64" t="s">
        <v>217</v>
      </c>
      <c r="H64">
        <v>3</v>
      </c>
      <c r="I64">
        <v>8</v>
      </c>
      <c r="J64">
        <v>13.234399999999999</v>
      </c>
      <c r="K64">
        <v>2017</v>
      </c>
      <c r="L64">
        <v>10</v>
      </c>
      <c r="M64" s="54">
        <f>AG64+AH64</f>
        <v>1985.3043478</v>
      </c>
      <c r="N64">
        <v>1</v>
      </c>
      <c r="O64">
        <v>2</v>
      </c>
      <c r="P64">
        <v>1</v>
      </c>
      <c r="Q64">
        <v>3</v>
      </c>
      <c r="R64">
        <v>4</v>
      </c>
      <c r="S64">
        <v>2</v>
      </c>
      <c r="T64" t="s">
        <v>218</v>
      </c>
      <c r="U64">
        <v>5</v>
      </c>
      <c r="V64">
        <v>48.604917312666302</v>
      </c>
      <c r="Y64">
        <v>5</v>
      </c>
      <c r="Z64">
        <v>1.84</v>
      </c>
      <c r="AB64">
        <v>0.20781628374036559</v>
      </c>
      <c r="AC64" s="54">
        <f t="shared" si="0"/>
        <v>1.0619412099132683</v>
      </c>
      <c r="AD64">
        <v>1.5402774147664728</v>
      </c>
      <c r="AE64" s="54">
        <f t="shared" si="1"/>
        <v>0.15402774147664727</v>
      </c>
      <c r="AG64">
        <v>994</v>
      </c>
      <c r="AH64" s="54">
        <v>991.30434779999996</v>
      </c>
    </row>
    <row r="65" spans="1:34" x14ac:dyDescent="0.25">
      <c r="A65">
        <v>1</v>
      </c>
      <c r="M65" s="54"/>
      <c r="AB65" t="s">
        <v>101</v>
      </c>
      <c r="AC65" s="54" t="e">
        <f t="shared" si="0"/>
        <v>#VALUE!</v>
      </c>
      <c r="AE65" s="54">
        <f t="shared" si="1"/>
        <v>0</v>
      </c>
      <c r="AH65" s="54"/>
    </row>
    <row r="66" spans="1:34" x14ac:dyDescent="0.25">
      <c r="A66">
        <v>1</v>
      </c>
      <c r="B66">
        <v>2017</v>
      </c>
      <c r="C66">
        <v>60</v>
      </c>
      <c r="D66" t="s">
        <v>28</v>
      </c>
      <c r="E66" t="s">
        <v>77</v>
      </c>
      <c r="F66">
        <v>5.1100000000000003</v>
      </c>
      <c r="G66" t="s">
        <v>217</v>
      </c>
      <c r="H66">
        <v>3</v>
      </c>
      <c r="I66">
        <v>8</v>
      </c>
      <c r="J66">
        <v>13.234399999999999</v>
      </c>
      <c r="K66">
        <v>2017</v>
      </c>
      <c r="L66">
        <v>10</v>
      </c>
      <c r="M66" s="54">
        <f>AG66+AH66</f>
        <v>1985.3043478</v>
      </c>
      <c r="N66">
        <v>3</v>
      </c>
      <c r="O66">
        <v>3</v>
      </c>
      <c r="P66">
        <v>1</v>
      </c>
      <c r="Q66">
        <v>3</v>
      </c>
      <c r="R66">
        <v>3</v>
      </c>
      <c r="S66">
        <v>2</v>
      </c>
      <c r="T66" t="s">
        <v>218</v>
      </c>
      <c r="U66">
        <v>2</v>
      </c>
      <c r="V66">
        <v>20</v>
      </c>
      <c r="Y66">
        <v>6</v>
      </c>
      <c r="Z66">
        <v>1.84</v>
      </c>
      <c r="AB66">
        <v>0.20781628374036559</v>
      </c>
      <c r="AC66" s="54">
        <f t="shared" si="0"/>
        <v>1.0619412099132683</v>
      </c>
      <c r="AD66">
        <v>1.698321732225593</v>
      </c>
      <c r="AE66" s="54">
        <f t="shared" si="1"/>
        <v>0.16983217322255931</v>
      </c>
      <c r="AG66">
        <v>994</v>
      </c>
      <c r="AH66" s="54">
        <v>991.30434779999996</v>
      </c>
    </row>
    <row r="67" spans="1:34" x14ac:dyDescent="0.25">
      <c r="A67">
        <v>1</v>
      </c>
      <c r="M67" s="54"/>
      <c r="AB67" t="s">
        <v>101</v>
      </c>
      <c r="AC67" s="54" t="e">
        <f t="shared" ref="AC67:AC130" si="2">F67*AB67</f>
        <v>#VALUE!</v>
      </c>
      <c r="AE67" s="54">
        <f t="shared" ref="AE67:AE130" si="3">AD67/10</f>
        <v>0</v>
      </c>
      <c r="AH67" s="54"/>
    </row>
    <row r="68" spans="1:34" x14ac:dyDescent="0.25">
      <c r="A68">
        <v>1</v>
      </c>
      <c r="B68">
        <v>2017</v>
      </c>
      <c r="C68">
        <v>50</v>
      </c>
      <c r="D68" t="s">
        <v>29</v>
      </c>
      <c r="E68" t="s">
        <v>292</v>
      </c>
      <c r="F68">
        <v>21.26</v>
      </c>
      <c r="G68" t="s">
        <v>217</v>
      </c>
      <c r="H68">
        <v>2</v>
      </c>
      <c r="I68">
        <v>5</v>
      </c>
      <c r="J68">
        <v>19.134499999999999</v>
      </c>
      <c r="K68">
        <v>2017</v>
      </c>
      <c r="L68">
        <v>10</v>
      </c>
      <c r="M68" s="54">
        <f>AG68+AH68</f>
        <v>1756.0434783000001</v>
      </c>
      <c r="N68">
        <v>1</v>
      </c>
      <c r="O68">
        <v>1</v>
      </c>
      <c r="P68">
        <v>1</v>
      </c>
      <c r="Q68">
        <v>4</v>
      </c>
      <c r="R68">
        <v>5</v>
      </c>
      <c r="S68">
        <v>1</v>
      </c>
      <c r="T68" t="s">
        <v>218</v>
      </c>
      <c r="U68">
        <v>8</v>
      </c>
      <c r="V68">
        <v>88.650039151629457</v>
      </c>
      <c r="X68">
        <v>88.650039151629457</v>
      </c>
      <c r="Y68">
        <v>8</v>
      </c>
      <c r="Z68">
        <v>12.88</v>
      </c>
      <c r="AB68">
        <v>0.21315997163323411</v>
      </c>
      <c r="AC68" s="54">
        <f t="shared" si="2"/>
        <v>4.5317809969225573</v>
      </c>
      <c r="AD68">
        <v>9.0578941697349649</v>
      </c>
      <c r="AE68" s="54">
        <f t="shared" si="3"/>
        <v>0.90578941697349646</v>
      </c>
      <c r="AG68">
        <v>868</v>
      </c>
      <c r="AH68" s="54">
        <v>888.04347829999995</v>
      </c>
    </row>
    <row r="69" spans="1:34" x14ac:dyDescent="0.25">
      <c r="A69">
        <v>1</v>
      </c>
      <c r="M69" s="54"/>
      <c r="AB69" t="s">
        <v>101</v>
      </c>
      <c r="AC69" s="54" t="e">
        <f t="shared" si="2"/>
        <v>#VALUE!</v>
      </c>
      <c r="AE69" s="54">
        <f t="shared" si="3"/>
        <v>0</v>
      </c>
      <c r="AH69" s="54"/>
    </row>
    <row r="70" spans="1:34" x14ac:dyDescent="0.25">
      <c r="A70">
        <v>1</v>
      </c>
      <c r="B70">
        <v>2017</v>
      </c>
      <c r="C70">
        <v>50</v>
      </c>
      <c r="D70" t="s">
        <v>29</v>
      </c>
      <c r="E70" t="s">
        <v>74</v>
      </c>
      <c r="F70">
        <v>21.26</v>
      </c>
      <c r="G70" t="s">
        <v>217</v>
      </c>
      <c r="H70">
        <v>2</v>
      </c>
      <c r="I70">
        <v>5</v>
      </c>
      <c r="J70">
        <v>19.134499999999999</v>
      </c>
      <c r="K70">
        <v>2017</v>
      </c>
      <c r="L70">
        <v>10</v>
      </c>
      <c r="M70" s="54">
        <f>AG70+AH70</f>
        <v>1756.0434783000001</v>
      </c>
      <c r="N70">
        <v>1</v>
      </c>
      <c r="O70">
        <v>2</v>
      </c>
      <c r="P70">
        <v>1</v>
      </c>
      <c r="Q70">
        <v>4</v>
      </c>
      <c r="R70">
        <v>4</v>
      </c>
      <c r="S70">
        <v>2</v>
      </c>
      <c r="T70" t="s">
        <v>218</v>
      </c>
      <c r="U70">
        <v>5</v>
      </c>
      <c r="V70">
        <v>70.920031321303568</v>
      </c>
      <c r="Y70">
        <v>5</v>
      </c>
      <c r="Z70">
        <v>12.88</v>
      </c>
      <c r="AB70">
        <v>0.21315997163323411</v>
      </c>
      <c r="AC70" s="54">
        <f t="shared" si="2"/>
        <v>4.5317809969225573</v>
      </c>
      <c r="AD70">
        <v>4.6949410687015627</v>
      </c>
      <c r="AE70" s="54">
        <f t="shared" si="3"/>
        <v>0.46949410687015625</v>
      </c>
      <c r="AG70">
        <v>868</v>
      </c>
      <c r="AH70" s="54">
        <v>888.04347829999995</v>
      </c>
    </row>
    <row r="71" spans="1:34" x14ac:dyDescent="0.25">
      <c r="A71">
        <v>1</v>
      </c>
      <c r="M71" s="54"/>
      <c r="AB71" t="s">
        <v>101</v>
      </c>
      <c r="AC71" s="54" t="e">
        <f t="shared" si="2"/>
        <v>#VALUE!</v>
      </c>
      <c r="AE71" s="54">
        <f t="shared" si="3"/>
        <v>0</v>
      </c>
      <c r="AH71" s="54"/>
    </row>
    <row r="72" spans="1:34" x14ac:dyDescent="0.25">
      <c r="A72">
        <v>1</v>
      </c>
      <c r="B72">
        <v>2017</v>
      </c>
      <c r="C72">
        <v>50</v>
      </c>
      <c r="D72" t="s">
        <v>29</v>
      </c>
      <c r="E72" t="s">
        <v>77</v>
      </c>
      <c r="F72">
        <v>21.26</v>
      </c>
      <c r="G72" t="s">
        <v>217</v>
      </c>
      <c r="H72">
        <v>2</v>
      </c>
      <c r="I72">
        <v>5</v>
      </c>
      <c r="J72">
        <v>19.134499999999999</v>
      </c>
      <c r="K72">
        <v>2017</v>
      </c>
      <c r="L72">
        <v>10</v>
      </c>
      <c r="M72" s="54">
        <f>AG72+AH72</f>
        <v>1756.0434783000001</v>
      </c>
      <c r="N72">
        <v>3</v>
      </c>
      <c r="O72">
        <v>3</v>
      </c>
      <c r="P72">
        <v>1</v>
      </c>
      <c r="Q72">
        <v>4</v>
      </c>
      <c r="R72">
        <v>3</v>
      </c>
      <c r="S72">
        <v>2</v>
      </c>
      <c r="T72" t="s">
        <v>218</v>
      </c>
      <c r="U72">
        <v>2</v>
      </c>
      <c r="V72">
        <v>20</v>
      </c>
      <c r="Y72">
        <v>6</v>
      </c>
      <c r="Z72">
        <v>12.88</v>
      </c>
      <c r="AB72">
        <v>0.21315997163323411</v>
      </c>
      <c r="AC72" s="54">
        <f t="shared" si="2"/>
        <v>4.5317809969225573</v>
      </c>
      <c r="AD72">
        <v>4.3757464856717787</v>
      </c>
      <c r="AE72" s="54">
        <f t="shared" si="3"/>
        <v>0.43757464856717787</v>
      </c>
      <c r="AG72">
        <v>868</v>
      </c>
      <c r="AH72" s="54">
        <v>888.04347829999995</v>
      </c>
    </row>
    <row r="73" spans="1:34" x14ac:dyDescent="0.25">
      <c r="A73">
        <v>1</v>
      </c>
      <c r="M73" s="54"/>
      <c r="AB73" t="s">
        <v>101</v>
      </c>
      <c r="AC73" s="54" t="e">
        <f t="shared" si="2"/>
        <v>#VALUE!</v>
      </c>
      <c r="AE73" s="54">
        <f t="shared" si="3"/>
        <v>0</v>
      </c>
      <c r="AH73" s="54"/>
    </row>
    <row r="74" spans="1:34" x14ac:dyDescent="0.25">
      <c r="A74">
        <v>1</v>
      </c>
      <c r="B74">
        <v>2017</v>
      </c>
      <c r="C74">
        <v>43</v>
      </c>
      <c r="D74" t="s">
        <v>30</v>
      </c>
      <c r="E74" t="s">
        <v>292</v>
      </c>
      <c r="F74">
        <v>8.49</v>
      </c>
      <c r="G74" t="s">
        <v>217</v>
      </c>
      <c r="H74">
        <v>3</v>
      </c>
      <c r="I74">
        <v>11</v>
      </c>
      <c r="J74">
        <v>16.826999999999998</v>
      </c>
      <c r="K74">
        <v>2017</v>
      </c>
      <c r="L74">
        <v>10</v>
      </c>
      <c r="M74" s="54">
        <f>AG74+AH74</f>
        <v>1979.913043</v>
      </c>
      <c r="N74">
        <v>1</v>
      </c>
      <c r="O74">
        <v>1</v>
      </c>
      <c r="P74">
        <v>1</v>
      </c>
      <c r="Q74">
        <v>3</v>
      </c>
      <c r="R74">
        <v>5</v>
      </c>
      <c r="S74">
        <v>1</v>
      </c>
      <c r="T74" t="s">
        <v>218</v>
      </c>
      <c r="U74">
        <v>8</v>
      </c>
      <c r="V74">
        <v>81.799000780062158</v>
      </c>
      <c r="X74">
        <v>81.799000780062158</v>
      </c>
      <c r="Y74">
        <v>8</v>
      </c>
      <c r="Z74">
        <v>1.38</v>
      </c>
      <c r="AB74">
        <v>0.20793323890089635</v>
      </c>
      <c r="AC74" s="54">
        <f t="shared" si="2"/>
        <v>1.7653531982686101</v>
      </c>
      <c r="AD74">
        <v>5.6886591422910904</v>
      </c>
      <c r="AE74" s="54">
        <f t="shared" si="3"/>
        <v>0.56886591422910904</v>
      </c>
      <c r="AG74">
        <v>906</v>
      </c>
      <c r="AH74" s="54">
        <v>1073.913043</v>
      </c>
    </row>
    <row r="75" spans="1:34" x14ac:dyDescent="0.25">
      <c r="A75">
        <v>1</v>
      </c>
      <c r="M75" s="54"/>
      <c r="AB75" t="s">
        <v>101</v>
      </c>
      <c r="AC75" s="54" t="e">
        <f t="shared" si="2"/>
        <v>#VALUE!</v>
      </c>
      <c r="AE75" s="54">
        <f t="shared" si="3"/>
        <v>0</v>
      </c>
      <c r="AH75" s="54"/>
    </row>
    <row r="76" spans="1:34" x14ac:dyDescent="0.25">
      <c r="A76">
        <v>1</v>
      </c>
      <c r="B76">
        <v>2017</v>
      </c>
      <c r="C76">
        <v>43</v>
      </c>
      <c r="D76" t="s">
        <v>30</v>
      </c>
      <c r="E76" t="s">
        <v>74</v>
      </c>
      <c r="F76">
        <v>8.49</v>
      </c>
      <c r="G76" t="s">
        <v>217</v>
      </c>
      <c r="H76">
        <v>3</v>
      </c>
      <c r="I76">
        <v>11</v>
      </c>
      <c r="J76">
        <v>16.826999999999998</v>
      </c>
      <c r="K76">
        <v>2017</v>
      </c>
      <c r="L76">
        <v>10</v>
      </c>
      <c r="M76" s="54">
        <f>AG76+AH76</f>
        <v>1979.913043</v>
      </c>
      <c r="N76">
        <v>1</v>
      </c>
      <c r="O76">
        <v>2</v>
      </c>
      <c r="P76">
        <v>1</v>
      </c>
      <c r="Q76">
        <v>3</v>
      </c>
      <c r="R76">
        <v>4</v>
      </c>
      <c r="S76">
        <v>2</v>
      </c>
      <c r="T76" t="s">
        <v>218</v>
      </c>
      <c r="U76">
        <v>5</v>
      </c>
      <c r="V76">
        <v>65.439200624049732</v>
      </c>
      <c r="Y76">
        <v>5</v>
      </c>
      <c r="Z76">
        <v>1.38</v>
      </c>
      <c r="AB76">
        <v>0.20793323890089635</v>
      </c>
      <c r="AC76" s="54">
        <f t="shared" si="2"/>
        <v>1.7653531982686101</v>
      </c>
      <c r="AD76">
        <v>2.6137774837061287</v>
      </c>
      <c r="AE76" s="54">
        <f t="shared" si="3"/>
        <v>0.26137774837061289</v>
      </c>
      <c r="AG76">
        <v>906</v>
      </c>
      <c r="AH76" s="54">
        <v>1073.913043</v>
      </c>
    </row>
    <row r="77" spans="1:34" x14ac:dyDescent="0.25">
      <c r="A77">
        <v>1</v>
      </c>
      <c r="M77" s="54"/>
      <c r="AB77" t="s">
        <v>101</v>
      </c>
      <c r="AC77" s="54" t="e">
        <f t="shared" si="2"/>
        <v>#VALUE!</v>
      </c>
      <c r="AE77" s="54">
        <f t="shared" si="3"/>
        <v>0</v>
      </c>
      <c r="AH77" s="54"/>
    </row>
    <row r="78" spans="1:34" x14ac:dyDescent="0.25">
      <c r="A78">
        <v>1</v>
      </c>
      <c r="B78">
        <v>2017</v>
      </c>
      <c r="C78">
        <v>43</v>
      </c>
      <c r="D78" t="s">
        <v>30</v>
      </c>
      <c r="E78" t="s">
        <v>77</v>
      </c>
      <c r="F78">
        <v>8.49</v>
      </c>
      <c r="G78" t="s">
        <v>217</v>
      </c>
      <c r="H78">
        <v>3</v>
      </c>
      <c r="I78">
        <v>11</v>
      </c>
      <c r="J78">
        <v>16.826999999999998</v>
      </c>
      <c r="K78">
        <v>2017</v>
      </c>
      <c r="L78">
        <v>10</v>
      </c>
      <c r="M78" s="54">
        <f>AG78+AH78</f>
        <v>1979.913043</v>
      </c>
      <c r="N78">
        <v>3</v>
      </c>
      <c r="O78">
        <v>3</v>
      </c>
      <c r="P78">
        <v>1</v>
      </c>
      <c r="Q78">
        <v>3</v>
      </c>
      <c r="R78">
        <v>3</v>
      </c>
      <c r="S78">
        <v>2</v>
      </c>
      <c r="T78" t="s">
        <v>218</v>
      </c>
      <c r="U78">
        <v>2</v>
      </c>
      <c r="V78">
        <v>20</v>
      </c>
      <c r="Y78">
        <v>6</v>
      </c>
      <c r="Z78">
        <v>1.38</v>
      </c>
      <c r="AB78">
        <v>0.20793323890089635</v>
      </c>
      <c r="AC78" s="54">
        <f t="shared" si="2"/>
        <v>1.7653531982686101</v>
      </c>
      <c r="AD78">
        <v>2.6923597215847073</v>
      </c>
      <c r="AE78" s="54">
        <f t="shared" si="3"/>
        <v>0.26923597215847073</v>
      </c>
      <c r="AG78">
        <v>906</v>
      </c>
      <c r="AH78" s="54">
        <v>1073.913043</v>
      </c>
    </row>
    <row r="79" spans="1:34" x14ac:dyDescent="0.25">
      <c r="A79">
        <v>1</v>
      </c>
      <c r="M79" s="54"/>
      <c r="AB79" t="s">
        <v>101</v>
      </c>
      <c r="AC79" s="54" t="e">
        <f t="shared" si="2"/>
        <v>#VALUE!</v>
      </c>
      <c r="AE79" s="54">
        <f t="shared" si="3"/>
        <v>0</v>
      </c>
      <c r="AH79" s="54"/>
    </row>
    <row r="80" spans="1:34" x14ac:dyDescent="0.25">
      <c r="A80">
        <v>1</v>
      </c>
      <c r="B80">
        <v>2017</v>
      </c>
      <c r="C80">
        <v>32</v>
      </c>
      <c r="D80" t="s">
        <v>90</v>
      </c>
      <c r="E80" t="s">
        <v>292</v>
      </c>
      <c r="F80">
        <v>20.76</v>
      </c>
      <c r="G80" t="s">
        <v>217</v>
      </c>
      <c r="H80">
        <v>2</v>
      </c>
      <c r="I80">
        <v>5</v>
      </c>
      <c r="J80">
        <v>14.3491</v>
      </c>
      <c r="K80">
        <v>2017</v>
      </c>
      <c r="L80">
        <v>10</v>
      </c>
      <c r="M80" s="54">
        <f>AG80+AH80</f>
        <v>1963.9565219999999</v>
      </c>
      <c r="N80">
        <v>1</v>
      </c>
      <c r="O80">
        <v>1</v>
      </c>
      <c r="P80">
        <v>1</v>
      </c>
      <c r="Q80">
        <v>4</v>
      </c>
      <c r="R80">
        <v>5</v>
      </c>
      <c r="S80">
        <v>1</v>
      </c>
      <c r="T80" t="s">
        <v>218</v>
      </c>
      <c r="U80">
        <v>8</v>
      </c>
      <c r="V80">
        <v>21.2441892705112</v>
      </c>
      <c r="X80">
        <v>21.2441892705112</v>
      </c>
      <c r="Y80">
        <v>8</v>
      </c>
      <c r="Z80">
        <v>5.75</v>
      </c>
      <c r="AB80">
        <v>0.20828165325514394</v>
      </c>
      <c r="AC80" s="54">
        <f t="shared" si="2"/>
        <v>4.3239271215767889</v>
      </c>
      <c r="AD80">
        <v>5.4837187387944075</v>
      </c>
      <c r="AE80" s="54">
        <f t="shared" si="3"/>
        <v>0.54837187387944075</v>
      </c>
      <c r="AG80">
        <v>952</v>
      </c>
      <c r="AH80" s="54">
        <v>1011.9565219999999</v>
      </c>
    </row>
    <row r="81" spans="1:34" x14ac:dyDescent="0.25">
      <c r="A81">
        <v>1</v>
      </c>
      <c r="M81" s="54"/>
      <c r="AB81" t="s">
        <v>101</v>
      </c>
      <c r="AC81" s="54" t="e">
        <f t="shared" si="2"/>
        <v>#VALUE!</v>
      </c>
      <c r="AE81" s="54">
        <f t="shared" si="3"/>
        <v>0</v>
      </c>
      <c r="AH81" s="54"/>
    </row>
    <row r="82" spans="1:34" x14ac:dyDescent="0.25">
      <c r="A82">
        <v>1</v>
      </c>
      <c r="B82">
        <v>2017</v>
      </c>
      <c r="C82">
        <v>32</v>
      </c>
      <c r="D82" t="s">
        <v>90</v>
      </c>
      <c r="E82" t="s">
        <v>74</v>
      </c>
      <c r="F82">
        <v>20.76</v>
      </c>
      <c r="G82" t="s">
        <v>217</v>
      </c>
      <c r="H82">
        <v>2</v>
      </c>
      <c r="I82">
        <v>5</v>
      </c>
      <c r="J82">
        <v>14.3491</v>
      </c>
      <c r="K82">
        <v>2017</v>
      </c>
      <c r="L82">
        <v>10</v>
      </c>
      <c r="M82" s="54">
        <f>AG82+AH82</f>
        <v>1963.9565219999999</v>
      </c>
      <c r="N82">
        <v>1</v>
      </c>
      <c r="O82">
        <v>2</v>
      </c>
      <c r="P82">
        <v>1</v>
      </c>
      <c r="Q82">
        <v>4</v>
      </c>
      <c r="R82">
        <v>4</v>
      </c>
      <c r="S82">
        <v>2</v>
      </c>
      <c r="T82" t="s">
        <v>218</v>
      </c>
      <c r="U82">
        <v>5</v>
      </c>
      <c r="V82">
        <v>16.995351416408958</v>
      </c>
      <c r="Y82">
        <v>5</v>
      </c>
      <c r="Z82">
        <v>5.75</v>
      </c>
      <c r="AB82">
        <v>0.20828165325514394</v>
      </c>
      <c r="AC82" s="54">
        <f t="shared" si="2"/>
        <v>4.3239271215767889</v>
      </c>
      <c r="AD82">
        <v>3.8138216335494373</v>
      </c>
      <c r="AE82" s="54">
        <f t="shared" si="3"/>
        <v>0.38138216335494374</v>
      </c>
      <c r="AG82">
        <v>952</v>
      </c>
      <c r="AH82" s="54">
        <v>1011.9565219999999</v>
      </c>
    </row>
    <row r="83" spans="1:34" x14ac:dyDescent="0.25">
      <c r="A83">
        <v>1</v>
      </c>
      <c r="M83" s="54"/>
      <c r="AB83" t="s">
        <v>101</v>
      </c>
      <c r="AC83" s="54" t="e">
        <f t="shared" si="2"/>
        <v>#VALUE!</v>
      </c>
      <c r="AE83" s="54">
        <f t="shared" si="3"/>
        <v>0</v>
      </c>
      <c r="AH83" s="54"/>
    </row>
    <row r="84" spans="1:34" x14ac:dyDescent="0.25">
      <c r="A84">
        <v>1</v>
      </c>
      <c r="B84">
        <v>2017</v>
      </c>
      <c r="C84">
        <v>32</v>
      </c>
      <c r="D84" t="s">
        <v>90</v>
      </c>
      <c r="E84" t="s">
        <v>77</v>
      </c>
      <c r="F84">
        <v>20.76</v>
      </c>
      <c r="G84" t="s">
        <v>217</v>
      </c>
      <c r="H84">
        <v>2</v>
      </c>
      <c r="I84">
        <v>5</v>
      </c>
      <c r="J84">
        <v>14.3491</v>
      </c>
      <c r="K84">
        <v>2017</v>
      </c>
      <c r="L84">
        <v>10</v>
      </c>
      <c r="M84" s="54">
        <f>AG84+AH84</f>
        <v>1963.9565219999999</v>
      </c>
      <c r="N84">
        <v>3</v>
      </c>
      <c r="O84">
        <v>3</v>
      </c>
      <c r="P84">
        <v>1</v>
      </c>
      <c r="Q84">
        <v>4</v>
      </c>
      <c r="R84">
        <v>3</v>
      </c>
      <c r="S84">
        <v>2</v>
      </c>
      <c r="T84" t="s">
        <v>218</v>
      </c>
      <c r="U84">
        <v>2</v>
      </c>
      <c r="V84">
        <v>20</v>
      </c>
      <c r="Y84">
        <v>6</v>
      </c>
      <c r="Z84">
        <v>5.75</v>
      </c>
      <c r="AB84">
        <v>0.20828165325514394</v>
      </c>
      <c r="AC84" s="54">
        <f t="shared" si="2"/>
        <v>4.3239271215767889</v>
      </c>
      <c r="AD84">
        <v>3.9405214156752839</v>
      </c>
      <c r="AE84" s="54">
        <f t="shared" si="3"/>
        <v>0.39405214156752838</v>
      </c>
      <c r="AG84">
        <v>952</v>
      </c>
      <c r="AH84" s="54">
        <v>1011.9565219999999</v>
      </c>
    </row>
    <row r="85" spans="1:34" x14ac:dyDescent="0.25">
      <c r="A85">
        <v>1</v>
      </c>
      <c r="M85" s="54"/>
      <c r="AB85" t="s">
        <v>101</v>
      </c>
      <c r="AC85" s="54" t="e">
        <f t="shared" si="2"/>
        <v>#VALUE!</v>
      </c>
      <c r="AE85" s="54">
        <f t="shared" si="3"/>
        <v>0</v>
      </c>
      <c r="AH85" s="54"/>
    </row>
    <row r="86" spans="1:34" x14ac:dyDescent="0.25">
      <c r="A86">
        <v>1</v>
      </c>
      <c r="B86">
        <v>2017</v>
      </c>
      <c r="C86">
        <v>14</v>
      </c>
      <c r="D86" t="s">
        <v>91</v>
      </c>
      <c r="E86" t="s">
        <v>292</v>
      </c>
      <c r="F86">
        <v>12.02</v>
      </c>
      <c r="G86" t="s">
        <v>99</v>
      </c>
      <c r="H86">
        <v>2</v>
      </c>
      <c r="I86">
        <v>6</v>
      </c>
      <c r="J86">
        <v>14.569199999999999</v>
      </c>
      <c r="K86">
        <v>2017</v>
      </c>
      <c r="L86">
        <v>10</v>
      </c>
      <c r="M86" s="54">
        <f>AG86+AH86</f>
        <v>2100.6086960000002</v>
      </c>
      <c r="N86">
        <v>1</v>
      </c>
      <c r="O86">
        <v>1</v>
      </c>
      <c r="P86">
        <v>1</v>
      </c>
      <c r="Q86">
        <v>3</v>
      </c>
      <c r="R86">
        <v>5</v>
      </c>
      <c r="S86">
        <v>1</v>
      </c>
      <c r="T86" t="s">
        <v>218</v>
      </c>
      <c r="U86">
        <v>8</v>
      </c>
      <c r="V86">
        <v>94.478551689634855</v>
      </c>
      <c r="X86">
        <v>94.478551689634855</v>
      </c>
      <c r="Y86">
        <v>8</v>
      </c>
      <c r="Z86">
        <v>1.1499999999999999</v>
      </c>
      <c r="AB86">
        <v>0.20540300200102199</v>
      </c>
      <c r="AC86" s="54">
        <f t="shared" si="2"/>
        <v>2.4689440840522843</v>
      </c>
      <c r="AD86">
        <v>7.0842145513249513</v>
      </c>
      <c r="AE86" s="54">
        <f t="shared" si="3"/>
        <v>0.7084214551324951</v>
      </c>
      <c r="AG86">
        <v>1068</v>
      </c>
      <c r="AH86" s="54">
        <v>1032.608696</v>
      </c>
    </row>
    <row r="87" spans="1:34" x14ac:dyDescent="0.25">
      <c r="A87">
        <v>1</v>
      </c>
      <c r="M87" s="54"/>
      <c r="AB87" t="s">
        <v>101</v>
      </c>
      <c r="AC87" s="54" t="e">
        <f t="shared" si="2"/>
        <v>#VALUE!</v>
      </c>
      <c r="AE87" s="54">
        <f t="shared" si="3"/>
        <v>0</v>
      </c>
      <c r="AH87" s="54"/>
    </row>
    <row r="88" spans="1:34" x14ac:dyDescent="0.25">
      <c r="A88">
        <v>1</v>
      </c>
      <c r="B88">
        <v>2017</v>
      </c>
      <c r="C88">
        <v>14</v>
      </c>
      <c r="D88" t="s">
        <v>91</v>
      </c>
      <c r="E88" t="s">
        <v>74</v>
      </c>
      <c r="F88">
        <v>12.02</v>
      </c>
      <c r="G88" t="s">
        <v>99</v>
      </c>
      <c r="H88">
        <v>2</v>
      </c>
      <c r="I88">
        <v>6</v>
      </c>
      <c r="J88">
        <v>14.569199999999999</v>
      </c>
      <c r="K88">
        <v>2017</v>
      </c>
      <c r="L88">
        <v>10</v>
      </c>
      <c r="M88" s="54">
        <f>AG88+AH88</f>
        <v>2100.6086960000002</v>
      </c>
      <c r="N88">
        <v>1</v>
      </c>
      <c r="O88">
        <v>2</v>
      </c>
      <c r="P88">
        <v>1</v>
      </c>
      <c r="Q88">
        <v>3</v>
      </c>
      <c r="R88">
        <v>4</v>
      </c>
      <c r="S88">
        <v>2</v>
      </c>
      <c r="T88" t="s">
        <v>218</v>
      </c>
      <c r="U88">
        <v>5</v>
      </c>
      <c r="V88">
        <v>75.582841351707884</v>
      </c>
      <c r="Y88">
        <v>5</v>
      </c>
      <c r="Z88">
        <v>1.1499999999999999</v>
      </c>
      <c r="AB88">
        <v>0.20540300200102199</v>
      </c>
      <c r="AC88" s="54">
        <f t="shared" si="2"/>
        <v>2.4689440840522843</v>
      </c>
      <c r="AD88">
        <v>3.0078118318044695</v>
      </c>
      <c r="AE88" s="54">
        <f t="shared" si="3"/>
        <v>0.30078118318044694</v>
      </c>
      <c r="AG88">
        <v>1068</v>
      </c>
      <c r="AH88" s="54">
        <v>1032.608696</v>
      </c>
    </row>
    <row r="89" spans="1:34" x14ac:dyDescent="0.25">
      <c r="A89">
        <v>1</v>
      </c>
      <c r="M89" s="54"/>
      <c r="AB89" t="s">
        <v>101</v>
      </c>
      <c r="AC89" s="54" t="e">
        <f t="shared" si="2"/>
        <v>#VALUE!</v>
      </c>
      <c r="AE89" s="54">
        <f t="shared" si="3"/>
        <v>0</v>
      </c>
      <c r="AH89" s="54"/>
    </row>
    <row r="90" spans="1:34" x14ac:dyDescent="0.25">
      <c r="A90">
        <v>1</v>
      </c>
      <c r="B90">
        <v>2017</v>
      </c>
      <c r="C90">
        <v>14</v>
      </c>
      <c r="D90" t="s">
        <v>91</v>
      </c>
      <c r="E90" t="s">
        <v>77</v>
      </c>
      <c r="F90">
        <v>12.02</v>
      </c>
      <c r="G90" t="s">
        <v>99</v>
      </c>
      <c r="H90">
        <v>2</v>
      </c>
      <c r="I90">
        <v>6</v>
      </c>
      <c r="J90">
        <v>14.569199999999999</v>
      </c>
      <c r="K90">
        <v>2017</v>
      </c>
      <c r="L90">
        <v>10</v>
      </c>
      <c r="M90" s="54">
        <f>AG90+AH90</f>
        <v>2100.6086960000002</v>
      </c>
      <c r="N90">
        <v>3</v>
      </c>
      <c r="O90">
        <v>3</v>
      </c>
      <c r="P90">
        <v>1</v>
      </c>
      <c r="Q90">
        <v>3</v>
      </c>
      <c r="R90">
        <v>3</v>
      </c>
      <c r="S90">
        <v>2</v>
      </c>
      <c r="T90" t="s">
        <v>218</v>
      </c>
      <c r="U90">
        <v>2</v>
      </c>
      <c r="V90">
        <v>20</v>
      </c>
      <c r="Y90">
        <v>6</v>
      </c>
      <c r="Z90">
        <v>1.1499999999999999</v>
      </c>
      <c r="AB90">
        <v>0.20540300200102199</v>
      </c>
      <c r="AC90" s="54">
        <f t="shared" si="2"/>
        <v>2.4689440840522843</v>
      </c>
      <c r="AD90">
        <v>2.7702498050998425</v>
      </c>
      <c r="AE90" s="54">
        <f t="shared" si="3"/>
        <v>0.27702498050998425</v>
      </c>
      <c r="AG90">
        <v>1068</v>
      </c>
      <c r="AH90" s="54">
        <v>1032.608696</v>
      </c>
    </row>
    <row r="91" spans="1:34" x14ac:dyDescent="0.25">
      <c r="A91">
        <v>1</v>
      </c>
      <c r="M91" s="54"/>
      <c r="AC91" s="54">
        <f t="shared" si="2"/>
        <v>0</v>
      </c>
      <c r="AE91" s="54">
        <f t="shared" si="3"/>
        <v>0</v>
      </c>
      <c r="AH91" s="54"/>
    </row>
    <row r="92" spans="1:34" x14ac:dyDescent="0.25">
      <c r="A92">
        <v>1</v>
      </c>
      <c r="B92">
        <v>2017</v>
      </c>
      <c r="C92">
        <v>25</v>
      </c>
      <c r="D92" t="s">
        <v>33</v>
      </c>
      <c r="E92" t="s">
        <v>292</v>
      </c>
      <c r="F92">
        <v>56.04</v>
      </c>
      <c r="G92" t="s">
        <v>217</v>
      </c>
      <c r="H92">
        <v>2</v>
      </c>
      <c r="I92">
        <v>3</v>
      </c>
      <c r="J92">
        <v>23.756599999999999</v>
      </c>
      <c r="K92">
        <v>2017</v>
      </c>
      <c r="L92">
        <v>10</v>
      </c>
      <c r="M92" s="54">
        <f>AG92+AH92</f>
        <v>1463.4782608999999</v>
      </c>
      <c r="N92">
        <v>1</v>
      </c>
      <c r="O92">
        <v>1</v>
      </c>
      <c r="P92">
        <v>1</v>
      </c>
      <c r="Q92">
        <v>4</v>
      </c>
      <c r="R92">
        <v>5</v>
      </c>
      <c r="S92">
        <v>1</v>
      </c>
      <c r="T92" t="s">
        <v>218</v>
      </c>
      <c r="U92">
        <v>8</v>
      </c>
      <c r="V92">
        <v>89.832757810193172</v>
      </c>
      <c r="X92">
        <v>89.832757810193172</v>
      </c>
      <c r="Y92">
        <v>8</v>
      </c>
      <c r="Z92">
        <v>25.53</v>
      </c>
      <c r="AB92">
        <v>0.22135104650078841</v>
      </c>
      <c r="AC92" s="54">
        <f t="shared" si="2"/>
        <v>12.404512645904182</v>
      </c>
      <c r="AD92">
        <v>16.511054113589996</v>
      </c>
      <c r="AE92" s="54">
        <f t="shared" si="3"/>
        <v>1.6511054113589996</v>
      </c>
      <c r="AG92">
        <v>720</v>
      </c>
      <c r="AH92" s="54">
        <v>743.47826090000001</v>
      </c>
    </row>
    <row r="93" spans="1:34" x14ac:dyDescent="0.25">
      <c r="A93">
        <v>1</v>
      </c>
      <c r="M93" s="54"/>
      <c r="AB93" t="s">
        <v>101</v>
      </c>
      <c r="AC93" s="54" t="e">
        <f t="shared" si="2"/>
        <v>#VALUE!</v>
      </c>
      <c r="AE93" s="54">
        <f t="shared" si="3"/>
        <v>0</v>
      </c>
      <c r="AH93" s="54"/>
    </row>
    <row r="94" spans="1:34" x14ac:dyDescent="0.25">
      <c r="A94">
        <v>1</v>
      </c>
      <c r="B94">
        <v>2017</v>
      </c>
      <c r="C94">
        <v>25</v>
      </c>
      <c r="D94" t="s">
        <v>33</v>
      </c>
      <c r="E94" t="s">
        <v>74</v>
      </c>
      <c r="F94">
        <v>56.04</v>
      </c>
      <c r="G94" t="s">
        <v>217</v>
      </c>
      <c r="H94">
        <v>2</v>
      </c>
      <c r="I94">
        <v>3</v>
      </c>
      <c r="J94">
        <v>23.756599999999999</v>
      </c>
      <c r="K94">
        <v>2017</v>
      </c>
      <c r="L94">
        <v>10</v>
      </c>
      <c r="M94" s="54">
        <f>AG94+AH94</f>
        <v>1463.4782608999999</v>
      </c>
      <c r="N94">
        <v>1</v>
      </c>
      <c r="O94">
        <v>2</v>
      </c>
      <c r="P94">
        <v>1</v>
      </c>
      <c r="Q94">
        <v>4</v>
      </c>
      <c r="R94">
        <v>4</v>
      </c>
      <c r="S94">
        <v>2</v>
      </c>
      <c r="T94" t="s">
        <v>218</v>
      </c>
      <c r="U94">
        <v>5</v>
      </c>
      <c r="V94">
        <v>71.866206248154541</v>
      </c>
      <c r="Y94">
        <v>5</v>
      </c>
      <c r="Z94">
        <v>25.53</v>
      </c>
      <c r="AB94">
        <v>0.22135104650078841</v>
      </c>
      <c r="AC94" s="54">
        <f t="shared" si="2"/>
        <v>12.404512645904182</v>
      </c>
      <c r="AD94">
        <v>10.099315475631125</v>
      </c>
      <c r="AE94" s="54">
        <f t="shared" si="3"/>
        <v>1.0099315475631125</v>
      </c>
      <c r="AG94">
        <v>720</v>
      </c>
      <c r="AH94" s="54">
        <v>743.47826090000001</v>
      </c>
    </row>
    <row r="95" spans="1:34" x14ac:dyDescent="0.25">
      <c r="A95">
        <v>1</v>
      </c>
      <c r="M95" s="54"/>
      <c r="AB95" t="s">
        <v>101</v>
      </c>
      <c r="AC95" s="54" t="e">
        <f t="shared" si="2"/>
        <v>#VALUE!</v>
      </c>
      <c r="AE95" s="54">
        <f t="shared" si="3"/>
        <v>0</v>
      </c>
      <c r="AH95" s="54"/>
    </row>
    <row r="96" spans="1:34" x14ac:dyDescent="0.25">
      <c r="A96">
        <v>1</v>
      </c>
      <c r="B96">
        <v>2017</v>
      </c>
      <c r="C96">
        <v>25</v>
      </c>
      <c r="D96" t="s">
        <v>33</v>
      </c>
      <c r="E96" t="s">
        <v>77</v>
      </c>
      <c r="F96">
        <v>56.04</v>
      </c>
      <c r="G96" t="s">
        <v>217</v>
      </c>
      <c r="H96">
        <v>2</v>
      </c>
      <c r="I96">
        <v>3</v>
      </c>
      <c r="J96">
        <v>23.756599999999999</v>
      </c>
      <c r="K96">
        <v>2017</v>
      </c>
      <c r="L96">
        <v>10</v>
      </c>
      <c r="M96" s="54">
        <f>AG96+AH96</f>
        <v>1463.4782608999999</v>
      </c>
      <c r="N96">
        <v>3</v>
      </c>
      <c r="O96">
        <v>3</v>
      </c>
      <c r="P96">
        <v>1</v>
      </c>
      <c r="Q96">
        <v>4</v>
      </c>
      <c r="R96">
        <v>3</v>
      </c>
      <c r="S96">
        <v>2</v>
      </c>
      <c r="T96" t="s">
        <v>218</v>
      </c>
      <c r="U96">
        <v>2</v>
      </c>
      <c r="V96">
        <v>20</v>
      </c>
      <c r="Y96">
        <v>6</v>
      </c>
      <c r="Z96">
        <v>25.53</v>
      </c>
      <c r="AB96">
        <v>0.22135104650078841</v>
      </c>
      <c r="AC96" s="54">
        <f t="shared" si="2"/>
        <v>12.404512645904182</v>
      </c>
      <c r="AD96">
        <v>9.7532049871811299</v>
      </c>
      <c r="AE96" s="54">
        <f t="shared" si="3"/>
        <v>0.97532049871811299</v>
      </c>
      <c r="AG96">
        <v>720</v>
      </c>
      <c r="AH96" s="54">
        <v>743.47826090000001</v>
      </c>
    </row>
    <row r="97" spans="1:34" x14ac:dyDescent="0.25">
      <c r="A97">
        <v>1</v>
      </c>
      <c r="M97" s="54"/>
      <c r="AB97" t="s">
        <v>101</v>
      </c>
      <c r="AC97" s="54" t="e">
        <f t="shared" si="2"/>
        <v>#VALUE!</v>
      </c>
      <c r="AE97" s="54">
        <f t="shared" si="3"/>
        <v>0</v>
      </c>
      <c r="AH97" s="54"/>
    </row>
    <row r="98" spans="1:34" x14ac:dyDescent="0.25">
      <c r="A98">
        <v>1</v>
      </c>
      <c r="B98">
        <v>2017</v>
      </c>
      <c r="C98">
        <v>46</v>
      </c>
      <c r="D98" t="s">
        <v>34</v>
      </c>
      <c r="E98" t="s">
        <v>292</v>
      </c>
      <c r="F98">
        <v>64.83</v>
      </c>
      <c r="G98" t="s">
        <v>217</v>
      </c>
      <c r="H98">
        <v>2</v>
      </c>
      <c r="I98">
        <v>8</v>
      </c>
      <c r="J98">
        <v>22.847799999999999</v>
      </c>
      <c r="K98">
        <v>2017</v>
      </c>
      <c r="L98">
        <v>10</v>
      </c>
      <c r="M98" s="54">
        <f>AG98+AH98</f>
        <v>1617.4347825999998</v>
      </c>
      <c r="N98">
        <v>1</v>
      </c>
      <c r="O98">
        <v>1</v>
      </c>
      <c r="P98">
        <v>1</v>
      </c>
      <c r="Q98">
        <v>4</v>
      </c>
      <c r="R98">
        <v>5</v>
      </c>
      <c r="S98">
        <v>1</v>
      </c>
      <c r="T98" t="s">
        <v>218</v>
      </c>
      <c r="U98">
        <v>8</v>
      </c>
      <c r="V98">
        <v>83.296794809862291</v>
      </c>
      <c r="X98">
        <v>83.296794809862291</v>
      </c>
      <c r="Y98">
        <v>8</v>
      </c>
      <c r="Z98">
        <v>12.88</v>
      </c>
      <c r="AB98">
        <v>0.21681720398158913</v>
      </c>
      <c r="AC98" s="54">
        <f t="shared" si="2"/>
        <v>14.056259334126423</v>
      </c>
      <c r="AD98">
        <v>22.328425463296732</v>
      </c>
      <c r="AE98" s="54">
        <f t="shared" si="3"/>
        <v>2.2328425463296733</v>
      </c>
      <c r="AG98">
        <v>812</v>
      </c>
      <c r="AH98" s="54">
        <v>805.43478259999995</v>
      </c>
    </row>
    <row r="99" spans="1:34" x14ac:dyDescent="0.25">
      <c r="A99">
        <v>1</v>
      </c>
      <c r="M99" s="54"/>
      <c r="AB99" t="s">
        <v>101</v>
      </c>
      <c r="AC99" s="54" t="e">
        <f t="shared" si="2"/>
        <v>#VALUE!</v>
      </c>
      <c r="AE99" s="54">
        <f t="shared" si="3"/>
        <v>0</v>
      </c>
      <c r="AH99" s="54"/>
    </row>
    <row r="100" spans="1:34" x14ac:dyDescent="0.25">
      <c r="A100">
        <v>1</v>
      </c>
      <c r="B100">
        <v>2017</v>
      </c>
      <c r="C100">
        <v>46</v>
      </c>
      <c r="D100" t="s">
        <v>34</v>
      </c>
      <c r="E100" t="s">
        <v>74</v>
      </c>
      <c r="F100">
        <v>64.83</v>
      </c>
      <c r="G100" t="s">
        <v>217</v>
      </c>
      <c r="H100">
        <v>2</v>
      </c>
      <c r="I100">
        <v>8</v>
      </c>
      <c r="J100">
        <v>22.847799999999999</v>
      </c>
      <c r="K100">
        <v>2017</v>
      </c>
      <c r="L100">
        <v>10</v>
      </c>
      <c r="M100" s="54">
        <f>AG100+AH100</f>
        <v>1617.4347825999998</v>
      </c>
      <c r="N100">
        <v>1</v>
      </c>
      <c r="O100">
        <v>2</v>
      </c>
      <c r="P100">
        <v>1</v>
      </c>
      <c r="Q100">
        <v>4</v>
      </c>
      <c r="R100">
        <v>4</v>
      </c>
      <c r="S100">
        <v>2</v>
      </c>
      <c r="T100" t="s">
        <v>218</v>
      </c>
      <c r="U100">
        <v>5</v>
      </c>
      <c r="V100">
        <v>66.637435847889833</v>
      </c>
      <c r="Y100">
        <v>5</v>
      </c>
      <c r="Z100">
        <v>12.88</v>
      </c>
      <c r="AB100">
        <v>0.21681720398158913</v>
      </c>
      <c r="AC100" s="54">
        <f t="shared" si="2"/>
        <v>14.056259334126423</v>
      </c>
      <c r="AD100">
        <v>14.863189340674317</v>
      </c>
      <c r="AE100" s="54">
        <f t="shared" si="3"/>
        <v>1.4863189340674317</v>
      </c>
      <c r="AG100">
        <v>812</v>
      </c>
      <c r="AH100" s="54">
        <v>805.43478259999995</v>
      </c>
    </row>
    <row r="101" spans="1:34" x14ac:dyDescent="0.25">
      <c r="A101">
        <v>1</v>
      </c>
      <c r="M101" s="54"/>
      <c r="AB101" t="s">
        <v>101</v>
      </c>
      <c r="AC101" s="54" t="e">
        <f t="shared" si="2"/>
        <v>#VALUE!</v>
      </c>
      <c r="AE101" s="54">
        <f t="shared" si="3"/>
        <v>0</v>
      </c>
      <c r="AH101" s="54"/>
    </row>
    <row r="102" spans="1:34" x14ac:dyDescent="0.25">
      <c r="A102">
        <v>1</v>
      </c>
      <c r="B102">
        <v>2017</v>
      </c>
      <c r="C102">
        <v>46</v>
      </c>
      <c r="D102" t="s">
        <v>34</v>
      </c>
      <c r="E102" t="s">
        <v>77</v>
      </c>
      <c r="F102">
        <v>64.83</v>
      </c>
      <c r="G102" t="s">
        <v>217</v>
      </c>
      <c r="H102">
        <v>2</v>
      </c>
      <c r="I102">
        <v>8</v>
      </c>
      <c r="J102">
        <v>22.847799999999999</v>
      </c>
      <c r="K102">
        <v>2017</v>
      </c>
      <c r="L102">
        <v>10</v>
      </c>
      <c r="M102" s="54">
        <f>AG102+AH102</f>
        <v>1617.4347825999998</v>
      </c>
      <c r="N102">
        <v>3</v>
      </c>
      <c r="O102">
        <v>3</v>
      </c>
      <c r="P102">
        <v>1</v>
      </c>
      <c r="Q102">
        <v>4</v>
      </c>
      <c r="R102">
        <v>3</v>
      </c>
      <c r="S102">
        <v>2</v>
      </c>
      <c r="T102" t="s">
        <v>218</v>
      </c>
      <c r="U102">
        <v>2</v>
      </c>
      <c r="V102">
        <v>20</v>
      </c>
      <c r="Y102">
        <v>6</v>
      </c>
      <c r="Z102">
        <v>12.88</v>
      </c>
      <c r="AB102">
        <v>0.21681720398158913</v>
      </c>
      <c r="AC102" s="54">
        <f t="shared" si="2"/>
        <v>14.056259334126423</v>
      </c>
      <c r="AD102">
        <v>14.756161316369168</v>
      </c>
      <c r="AE102" s="54">
        <f t="shared" si="3"/>
        <v>1.4756161316369167</v>
      </c>
      <c r="AG102">
        <v>812</v>
      </c>
      <c r="AH102" s="54">
        <v>805.43478259999995</v>
      </c>
    </row>
    <row r="103" spans="1:34" x14ac:dyDescent="0.25">
      <c r="A103">
        <v>1</v>
      </c>
      <c r="M103" s="54"/>
      <c r="AB103" t="s">
        <v>101</v>
      </c>
      <c r="AC103" s="54" t="e">
        <f t="shared" si="2"/>
        <v>#VALUE!</v>
      </c>
      <c r="AE103" s="54">
        <f t="shared" si="3"/>
        <v>0</v>
      </c>
      <c r="AH103" s="54"/>
    </row>
    <row r="104" spans="1:34" x14ac:dyDescent="0.25">
      <c r="A104">
        <v>1</v>
      </c>
      <c r="B104">
        <v>2017</v>
      </c>
      <c r="C104">
        <v>68</v>
      </c>
      <c r="D104" t="s">
        <v>92</v>
      </c>
      <c r="E104" t="s">
        <v>292</v>
      </c>
      <c r="F104">
        <v>1.18</v>
      </c>
      <c r="G104" t="s">
        <v>98</v>
      </c>
      <c r="H104">
        <v>2</v>
      </c>
      <c r="I104">
        <v>25</v>
      </c>
      <c r="J104">
        <v>20.731999999999999</v>
      </c>
      <c r="K104">
        <v>2017</v>
      </c>
      <c r="L104">
        <v>10</v>
      </c>
      <c r="M104" s="54">
        <f>AG104+AH104</f>
        <v>1692.6956522</v>
      </c>
      <c r="N104">
        <v>1</v>
      </c>
      <c r="O104">
        <v>1</v>
      </c>
      <c r="P104">
        <v>1</v>
      </c>
      <c r="Q104">
        <v>2</v>
      </c>
      <c r="R104">
        <v>5</v>
      </c>
      <c r="S104">
        <v>1</v>
      </c>
      <c r="T104" t="s">
        <v>218</v>
      </c>
      <c r="U104">
        <v>8</v>
      </c>
      <c r="V104">
        <v>54.317758477062306</v>
      </c>
      <c r="X104">
        <v>54.317758477062306</v>
      </c>
      <c r="Y104">
        <v>8</v>
      </c>
      <c r="Z104">
        <v>3.68</v>
      </c>
      <c r="AB104">
        <v>0.21478652417085742</v>
      </c>
      <c r="AC104" s="54">
        <f t="shared" si="2"/>
        <v>0.25344809852161176</v>
      </c>
      <c r="AD104">
        <v>3.8420327621115726</v>
      </c>
      <c r="AE104" s="54">
        <f t="shared" si="3"/>
        <v>0.38420327621115724</v>
      </c>
      <c r="AG104">
        <v>784</v>
      </c>
      <c r="AH104" s="54">
        <v>908.69565220000004</v>
      </c>
    </row>
    <row r="105" spans="1:34" x14ac:dyDescent="0.25">
      <c r="A105">
        <v>1</v>
      </c>
      <c r="M105" s="54"/>
      <c r="AB105" t="s">
        <v>101</v>
      </c>
      <c r="AC105" s="54" t="e">
        <f t="shared" si="2"/>
        <v>#VALUE!</v>
      </c>
      <c r="AE105" s="54">
        <f t="shared" si="3"/>
        <v>0</v>
      </c>
      <c r="AH105" s="54"/>
    </row>
    <row r="106" spans="1:34" x14ac:dyDescent="0.25">
      <c r="A106">
        <v>1</v>
      </c>
      <c r="B106">
        <v>2017</v>
      </c>
      <c r="C106">
        <v>68</v>
      </c>
      <c r="D106" t="s">
        <v>92</v>
      </c>
      <c r="E106" t="s">
        <v>74</v>
      </c>
      <c r="F106">
        <v>1.18</v>
      </c>
      <c r="G106" t="s">
        <v>98</v>
      </c>
      <c r="H106">
        <v>2</v>
      </c>
      <c r="I106">
        <v>25</v>
      </c>
      <c r="J106">
        <v>20.731999999999999</v>
      </c>
      <c r="K106">
        <v>2017</v>
      </c>
      <c r="L106">
        <v>10</v>
      </c>
      <c r="M106" s="54">
        <f>AG106+AH106</f>
        <v>1692.6956522</v>
      </c>
      <c r="N106">
        <v>1</v>
      </c>
      <c r="O106">
        <v>2</v>
      </c>
      <c r="P106">
        <v>1</v>
      </c>
      <c r="Q106">
        <v>2</v>
      </c>
      <c r="R106">
        <v>4</v>
      </c>
      <c r="S106">
        <v>2</v>
      </c>
      <c r="T106" t="s">
        <v>218</v>
      </c>
      <c r="U106">
        <v>5</v>
      </c>
      <c r="V106">
        <v>43.454206781649845</v>
      </c>
      <c r="Y106">
        <v>5</v>
      </c>
      <c r="Z106">
        <v>3.68</v>
      </c>
      <c r="AB106">
        <v>0.21478652417085742</v>
      </c>
      <c r="AC106" s="54">
        <f t="shared" si="2"/>
        <v>0.25344809852161176</v>
      </c>
      <c r="AD106">
        <v>1.2520203756175208</v>
      </c>
      <c r="AE106" s="54">
        <f t="shared" si="3"/>
        <v>0.12520203756175208</v>
      </c>
      <c r="AG106">
        <v>784</v>
      </c>
      <c r="AH106" s="54">
        <v>908.69565220000004</v>
      </c>
    </row>
    <row r="107" spans="1:34" x14ac:dyDescent="0.25">
      <c r="A107">
        <v>1</v>
      </c>
      <c r="M107" s="54"/>
      <c r="AB107" t="s">
        <v>101</v>
      </c>
      <c r="AC107" s="54" t="e">
        <f t="shared" si="2"/>
        <v>#VALUE!</v>
      </c>
      <c r="AE107" s="54">
        <f t="shared" si="3"/>
        <v>0</v>
      </c>
      <c r="AH107" s="54"/>
    </row>
    <row r="108" spans="1:34" x14ac:dyDescent="0.25">
      <c r="A108">
        <v>1</v>
      </c>
      <c r="B108">
        <v>2017</v>
      </c>
      <c r="C108">
        <v>68</v>
      </c>
      <c r="D108" t="s">
        <v>92</v>
      </c>
      <c r="E108" t="s">
        <v>77</v>
      </c>
      <c r="F108">
        <v>1.18</v>
      </c>
      <c r="G108" t="s">
        <v>98</v>
      </c>
      <c r="H108">
        <v>2</v>
      </c>
      <c r="I108">
        <v>25</v>
      </c>
      <c r="J108">
        <v>20.731999999999999</v>
      </c>
      <c r="K108">
        <v>2017</v>
      </c>
      <c r="L108">
        <v>10</v>
      </c>
      <c r="M108" s="54">
        <f>AG108+AH108</f>
        <v>1692.6956522</v>
      </c>
      <c r="N108">
        <v>3</v>
      </c>
      <c r="O108">
        <v>3</v>
      </c>
      <c r="P108">
        <v>1</v>
      </c>
      <c r="Q108">
        <v>2</v>
      </c>
      <c r="R108">
        <v>3</v>
      </c>
      <c r="S108">
        <v>2</v>
      </c>
      <c r="T108" t="s">
        <v>218</v>
      </c>
      <c r="U108">
        <v>2</v>
      </c>
      <c r="V108">
        <v>20</v>
      </c>
      <c r="Y108">
        <v>6</v>
      </c>
      <c r="Z108">
        <v>3.68</v>
      </c>
      <c r="AB108">
        <v>0.21478652417085742</v>
      </c>
      <c r="AC108" s="54">
        <f t="shared" si="2"/>
        <v>0.25344809852161176</v>
      </c>
      <c r="AD108">
        <v>1.1797842380948833</v>
      </c>
      <c r="AE108" s="54">
        <f t="shared" si="3"/>
        <v>0.11797842380948834</v>
      </c>
      <c r="AG108">
        <v>784</v>
      </c>
      <c r="AH108" s="54">
        <v>908.69565220000004</v>
      </c>
    </row>
    <row r="109" spans="1:34" x14ac:dyDescent="0.25">
      <c r="A109">
        <v>1</v>
      </c>
      <c r="M109" s="54"/>
      <c r="AB109" t="s">
        <v>101</v>
      </c>
      <c r="AC109" s="54" t="e">
        <f t="shared" si="2"/>
        <v>#VALUE!</v>
      </c>
      <c r="AE109" s="54">
        <f t="shared" si="3"/>
        <v>0</v>
      </c>
      <c r="AH109" s="54"/>
    </row>
    <row r="110" spans="1:34" x14ac:dyDescent="0.25">
      <c r="A110">
        <v>1</v>
      </c>
      <c r="B110">
        <v>2017</v>
      </c>
      <c r="C110">
        <v>56</v>
      </c>
      <c r="D110" t="s">
        <v>36</v>
      </c>
      <c r="E110" t="s">
        <v>292</v>
      </c>
      <c r="F110">
        <v>22.48</v>
      </c>
      <c r="G110" t="s">
        <v>217</v>
      </c>
      <c r="H110">
        <v>2</v>
      </c>
      <c r="I110">
        <v>9</v>
      </c>
      <c r="J110">
        <v>23.160199999999996</v>
      </c>
      <c r="K110">
        <v>2017</v>
      </c>
      <c r="L110">
        <v>10</v>
      </c>
      <c r="M110" s="54">
        <f>AG110+AH110</f>
        <v>1596.7826086999999</v>
      </c>
      <c r="N110">
        <v>1</v>
      </c>
      <c r="O110">
        <v>1</v>
      </c>
      <c r="P110">
        <v>1</v>
      </c>
      <c r="Q110">
        <v>3</v>
      </c>
      <c r="R110">
        <v>5</v>
      </c>
      <c r="S110">
        <v>1</v>
      </c>
      <c r="T110" t="s">
        <v>218</v>
      </c>
      <c r="U110">
        <v>8</v>
      </c>
      <c r="V110">
        <v>69.311397802045903</v>
      </c>
      <c r="X110">
        <v>69.311397802045903</v>
      </c>
      <c r="Y110">
        <v>8</v>
      </c>
      <c r="Z110">
        <v>19.78</v>
      </c>
      <c r="AB110">
        <v>0.21739444636332686</v>
      </c>
      <c r="AC110" s="54">
        <f t="shared" si="2"/>
        <v>4.8870271542475878</v>
      </c>
      <c r="AD110">
        <v>9.7505802804999995</v>
      </c>
      <c r="AE110" s="54">
        <f t="shared" si="3"/>
        <v>0.97505802804999997</v>
      </c>
      <c r="AG110">
        <v>812</v>
      </c>
      <c r="AH110" s="54">
        <v>784.78260869999997</v>
      </c>
    </row>
    <row r="111" spans="1:34" x14ac:dyDescent="0.25">
      <c r="A111">
        <v>1</v>
      </c>
      <c r="M111" s="54"/>
      <c r="AB111" t="s">
        <v>101</v>
      </c>
      <c r="AC111" s="54" t="e">
        <f t="shared" si="2"/>
        <v>#VALUE!</v>
      </c>
      <c r="AE111" s="54">
        <f t="shared" si="3"/>
        <v>0</v>
      </c>
      <c r="AH111" s="54"/>
    </row>
    <row r="112" spans="1:34" x14ac:dyDescent="0.25">
      <c r="A112">
        <v>1</v>
      </c>
      <c r="B112">
        <v>2017</v>
      </c>
      <c r="C112">
        <v>56</v>
      </c>
      <c r="D112" t="s">
        <v>36</v>
      </c>
      <c r="E112" t="s">
        <v>74</v>
      </c>
      <c r="F112">
        <v>22.48</v>
      </c>
      <c r="G112" t="s">
        <v>217</v>
      </c>
      <c r="H112">
        <v>2</v>
      </c>
      <c r="I112">
        <v>9</v>
      </c>
      <c r="J112">
        <v>23.160199999999996</v>
      </c>
      <c r="K112">
        <v>2017</v>
      </c>
      <c r="L112">
        <v>10</v>
      </c>
      <c r="M112" s="54">
        <f>AG112+AH112</f>
        <v>1596.7826086999999</v>
      </c>
      <c r="N112">
        <v>1</v>
      </c>
      <c r="O112">
        <v>2</v>
      </c>
      <c r="P112">
        <v>1</v>
      </c>
      <c r="Q112">
        <v>3</v>
      </c>
      <c r="R112">
        <v>4</v>
      </c>
      <c r="S112">
        <v>2</v>
      </c>
      <c r="T112" t="s">
        <v>218</v>
      </c>
      <c r="U112">
        <v>5</v>
      </c>
      <c r="V112">
        <v>55.449118241636718</v>
      </c>
      <c r="Y112">
        <v>5</v>
      </c>
      <c r="Z112">
        <v>19.78</v>
      </c>
      <c r="AB112">
        <v>0.21739444636332686</v>
      </c>
      <c r="AC112" s="54">
        <f t="shared" si="2"/>
        <v>4.8870271542475878</v>
      </c>
      <c r="AD112">
        <v>5.8154259124725769</v>
      </c>
      <c r="AE112" s="54">
        <f t="shared" si="3"/>
        <v>0.58154259124725771</v>
      </c>
      <c r="AG112">
        <v>812</v>
      </c>
      <c r="AH112" s="54">
        <v>784.78260869999997</v>
      </c>
    </row>
    <row r="113" spans="1:34" x14ac:dyDescent="0.25">
      <c r="A113">
        <v>1</v>
      </c>
      <c r="M113" s="54"/>
      <c r="AB113" t="s">
        <v>101</v>
      </c>
      <c r="AC113" s="54" t="e">
        <f t="shared" si="2"/>
        <v>#VALUE!</v>
      </c>
      <c r="AE113" s="54">
        <f t="shared" si="3"/>
        <v>0</v>
      </c>
      <c r="AH113" s="54"/>
    </row>
    <row r="114" spans="1:34" x14ac:dyDescent="0.25">
      <c r="A114">
        <v>1</v>
      </c>
      <c r="B114">
        <v>2017</v>
      </c>
      <c r="C114">
        <v>56</v>
      </c>
      <c r="D114" t="s">
        <v>36</v>
      </c>
      <c r="E114" t="s">
        <v>77</v>
      </c>
      <c r="F114">
        <v>22.48</v>
      </c>
      <c r="G114" t="s">
        <v>217</v>
      </c>
      <c r="H114">
        <v>2</v>
      </c>
      <c r="I114">
        <v>9</v>
      </c>
      <c r="J114">
        <v>23.160199999999996</v>
      </c>
      <c r="K114">
        <v>2017</v>
      </c>
      <c r="L114">
        <v>10</v>
      </c>
      <c r="M114" s="54">
        <f>AG114+AH114</f>
        <v>1596.7826086999999</v>
      </c>
      <c r="N114">
        <v>3</v>
      </c>
      <c r="O114">
        <v>3</v>
      </c>
      <c r="P114">
        <v>1</v>
      </c>
      <c r="Q114">
        <v>3</v>
      </c>
      <c r="R114">
        <v>3</v>
      </c>
      <c r="S114">
        <v>2</v>
      </c>
      <c r="T114" t="s">
        <v>218</v>
      </c>
      <c r="U114">
        <v>2</v>
      </c>
      <c r="V114">
        <v>20</v>
      </c>
      <c r="Y114">
        <v>6</v>
      </c>
      <c r="Z114">
        <v>19.78</v>
      </c>
      <c r="AB114">
        <v>0.21739444636332686</v>
      </c>
      <c r="AC114" s="54">
        <f t="shared" si="2"/>
        <v>4.8870271542475878</v>
      </c>
      <c r="AD114">
        <v>5.796953507311474</v>
      </c>
      <c r="AE114" s="54">
        <f t="shared" si="3"/>
        <v>0.57969535073114742</v>
      </c>
      <c r="AG114">
        <v>812</v>
      </c>
      <c r="AH114" s="54">
        <v>784.78260869999997</v>
      </c>
    </row>
    <row r="115" spans="1:34" x14ac:dyDescent="0.25">
      <c r="A115">
        <v>1</v>
      </c>
      <c r="M115" s="54"/>
      <c r="AB115" t="s">
        <v>101</v>
      </c>
      <c r="AC115" s="54" t="e">
        <f t="shared" si="2"/>
        <v>#VALUE!</v>
      </c>
      <c r="AE115" s="54">
        <f t="shared" si="3"/>
        <v>0</v>
      </c>
      <c r="AH115" s="54"/>
    </row>
    <row r="116" spans="1:34" x14ac:dyDescent="0.25">
      <c r="A116">
        <v>1</v>
      </c>
      <c r="B116">
        <v>2017</v>
      </c>
      <c r="C116">
        <v>7</v>
      </c>
      <c r="D116" t="s">
        <v>37</v>
      </c>
      <c r="E116" t="s">
        <v>292</v>
      </c>
      <c r="F116">
        <v>17.03</v>
      </c>
      <c r="G116" t="s">
        <v>217</v>
      </c>
      <c r="H116">
        <v>2</v>
      </c>
      <c r="I116">
        <v>5</v>
      </c>
      <c r="J116">
        <v>22.72</v>
      </c>
      <c r="K116">
        <v>2017</v>
      </c>
      <c r="L116">
        <v>10</v>
      </c>
      <c r="M116" s="54">
        <f>AG116+AH116</f>
        <v>1672.7826086999999</v>
      </c>
      <c r="N116">
        <v>1</v>
      </c>
      <c r="O116">
        <v>1</v>
      </c>
      <c r="P116">
        <v>1</v>
      </c>
      <c r="Q116">
        <v>4</v>
      </c>
      <c r="R116">
        <v>5</v>
      </c>
      <c r="S116">
        <v>1</v>
      </c>
      <c r="T116" t="s">
        <v>218</v>
      </c>
      <c r="U116">
        <v>8</v>
      </c>
      <c r="V116">
        <v>74.829751797288736</v>
      </c>
      <c r="X116">
        <v>74.829751797288736</v>
      </c>
      <c r="Y116">
        <v>8</v>
      </c>
      <c r="Z116">
        <v>16.100000000000001</v>
      </c>
      <c r="AB116">
        <v>0.2153130567085472</v>
      </c>
      <c r="AC116" s="54">
        <f t="shared" si="2"/>
        <v>3.6667813557465592</v>
      </c>
      <c r="AD116">
        <v>7.4313794517475467</v>
      </c>
      <c r="AE116" s="54">
        <f t="shared" si="3"/>
        <v>0.74313794517475462</v>
      </c>
      <c r="AG116">
        <v>888</v>
      </c>
      <c r="AH116" s="54">
        <v>784.78260869999997</v>
      </c>
    </row>
    <row r="117" spans="1:34" x14ac:dyDescent="0.25">
      <c r="A117">
        <v>1</v>
      </c>
      <c r="M117" s="54"/>
      <c r="AB117" t="s">
        <v>101</v>
      </c>
      <c r="AC117" s="54" t="e">
        <f t="shared" si="2"/>
        <v>#VALUE!</v>
      </c>
      <c r="AE117" s="54">
        <f t="shared" si="3"/>
        <v>0</v>
      </c>
      <c r="AH117" s="54"/>
    </row>
    <row r="118" spans="1:34" x14ac:dyDescent="0.25">
      <c r="A118">
        <v>1</v>
      </c>
      <c r="B118">
        <v>2017</v>
      </c>
      <c r="C118">
        <v>7</v>
      </c>
      <c r="D118" t="s">
        <v>37</v>
      </c>
      <c r="E118" t="s">
        <v>74</v>
      </c>
      <c r="F118">
        <v>17.03</v>
      </c>
      <c r="G118" t="s">
        <v>217</v>
      </c>
      <c r="H118">
        <v>2</v>
      </c>
      <c r="I118">
        <v>5</v>
      </c>
      <c r="J118">
        <v>22.72</v>
      </c>
      <c r="K118">
        <v>2017</v>
      </c>
      <c r="L118">
        <v>10</v>
      </c>
      <c r="M118" s="54">
        <f>AG118+AH118</f>
        <v>1672.7826086999999</v>
      </c>
      <c r="N118">
        <v>1</v>
      </c>
      <c r="O118">
        <v>2</v>
      </c>
      <c r="P118">
        <v>1</v>
      </c>
      <c r="Q118">
        <v>4</v>
      </c>
      <c r="R118">
        <v>4</v>
      </c>
      <c r="S118">
        <v>2</v>
      </c>
      <c r="T118" t="s">
        <v>218</v>
      </c>
      <c r="U118">
        <v>5</v>
      </c>
      <c r="V118">
        <v>59.863801437830993</v>
      </c>
      <c r="Y118">
        <v>5</v>
      </c>
      <c r="Z118">
        <v>16.100000000000001</v>
      </c>
      <c r="AB118">
        <v>0.2153130567085472</v>
      </c>
      <c r="AC118" s="54">
        <f t="shared" si="2"/>
        <v>3.6667813557465592</v>
      </c>
      <c r="AD118">
        <v>3.9144095905942295</v>
      </c>
      <c r="AE118" s="54">
        <f t="shared" si="3"/>
        <v>0.39144095905942294</v>
      </c>
      <c r="AG118">
        <v>888</v>
      </c>
      <c r="AH118" s="54">
        <v>784.78260869999997</v>
      </c>
    </row>
    <row r="119" spans="1:34" x14ac:dyDescent="0.25">
      <c r="A119">
        <v>1</v>
      </c>
      <c r="M119" s="54"/>
      <c r="AB119" t="s">
        <v>101</v>
      </c>
      <c r="AC119" s="54" t="e">
        <f t="shared" si="2"/>
        <v>#VALUE!</v>
      </c>
      <c r="AE119" s="54">
        <f t="shared" si="3"/>
        <v>0</v>
      </c>
      <c r="AH119" s="54"/>
    </row>
    <row r="120" spans="1:34" x14ac:dyDescent="0.25">
      <c r="A120">
        <v>1</v>
      </c>
      <c r="B120">
        <v>2017</v>
      </c>
      <c r="C120">
        <v>7</v>
      </c>
      <c r="D120" t="s">
        <v>37</v>
      </c>
      <c r="E120" t="s">
        <v>77</v>
      </c>
      <c r="F120">
        <v>17.03</v>
      </c>
      <c r="G120" t="s">
        <v>217</v>
      </c>
      <c r="H120">
        <v>2</v>
      </c>
      <c r="I120">
        <v>5</v>
      </c>
      <c r="J120">
        <v>22.72</v>
      </c>
      <c r="K120">
        <v>2017</v>
      </c>
      <c r="L120">
        <v>10</v>
      </c>
      <c r="M120" s="54">
        <f>AG120+AH120</f>
        <v>1672.7826086999999</v>
      </c>
      <c r="N120">
        <v>3</v>
      </c>
      <c r="O120">
        <v>3</v>
      </c>
      <c r="P120">
        <v>1</v>
      </c>
      <c r="Q120">
        <v>4</v>
      </c>
      <c r="R120">
        <v>3</v>
      </c>
      <c r="S120">
        <v>2</v>
      </c>
      <c r="T120" t="s">
        <v>218</v>
      </c>
      <c r="U120">
        <v>2</v>
      </c>
      <c r="V120">
        <v>20</v>
      </c>
      <c r="Y120">
        <v>6</v>
      </c>
      <c r="Z120">
        <v>16.100000000000001</v>
      </c>
      <c r="AB120">
        <v>0.2153130567085472</v>
      </c>
      <c r="AC120" s="54">
        <f t="shared" si="2"/>
        <v>3.6667813557465592</v>
      </c>
      <c r="AD120">
        <v>3.6757174242013759</v>
      </c>
      <c r="AE120" s="54">
        <f t="shared" si="3"/>
        <v>0.36757174242013757</v>
      </c>
      <c r="AG120">
        <v>888</v>
      </c>
      <c r="AH120" s="54">
        <v>784.78260869999997</v>
      </c>
    </row>
    <row r="121" spans="1:34" x14ac:dyDescent="0.25">
      <c r="A121">
        <v>1</v>
      </c>
      <c r="M121" s="54"/>
      <c r="AB121" t="s">
        <v>101</v>
      </c>
      <c r="AC121" s="54" t="e">
        <f t="shared" si="2"/>
        <v>#VALUE!</v>
      </c>
      <c r="AE121" s="54">
        <f t="shared" si="3"/>
        <v>0</v>
      </c>
      <c r="AH121" s="54"/>
    </row>
    <row r="122" spans="1:34" x14ac:dyDescent="0.25">
      <c r="A122">
        <v>1</v>
      </c>
      <c r="B122">
        <v>2017</v>
      </c>
      <c r="C122">
        <v>64</v>
      </c>
      <c r="D122" t="s">
        <v>38</v>
      </c>
      <c r="E122" t="s">
        <v>292</v>
      </c>
      <c r="F122">
        <v>62.05</v>
      </c>
      <c r="G122" t="s">
        <v>98</v>
      </c>
      <c r="H122">
        <v>3</v>
      </c>
      <c r="I122">
        <v>4</v>
      </c>
      <c r="J122">
        <v>25.2334</v>
      </c>
      <c r="K122">
        <v>2017</v>
      </c>
      <c r="L122">
        <v>10</v>
      </c>
      <c r="M122" s="54">
        <f>AG122+AH122</f>
        <v>1616.1739130000001</v>
      </c>
      <c r="N122">
        <v>1</v>
      </c>
      <c r="O122">
        <v>1</v>
      </c>
      <c r="P122">
        <v>1</v>
      </c>
      <c r="Q122">
        <v>4</v>
      </c>
      <c r="R122">
        <v>5</v>
      </c>
      <c r="S122">
        <v>1</v>
      </c>
      <c r="T122" t="s">
        <v>218</v>
      </c>
      <c r="U122">
        <v>8</v>
      </c>
      <c r="V122">
        <v>71.553549749031987</v>
      </c>
      <c r="X122">
        <v>71.553549749031987</v>
      </c>
      <c r="Y122">
        <v>8</v>
      </c>
      <c r="Z122">
        <v>17.02</v>
      </c>
      <c r="AB122">
        <v>0.2168521906021704</v>
      </c>
      <c r="AC122" s="54">
        <f t="shared" si="2"/>
        <v>13.455678426864672</v>
      </c>
      <c r="AD122">
        <v>19.792856665563125</v>
      </c>
      <c r="AE122" s="54">
        <f t="shared" si="3"/>
        <v>1.9792856665563126</v>
      </c>
      <c r="AG122">
        <v>914</v>
      </c>
      <c r="AH122" s="54">
        <v>702.17391299999997</v>
      </c>
    </row>
    <row r="123" spans="1:34" x14ac:dyDescent="0.25">
      <c r="A123">
        <v>1</v>
      </c>
      <c r="M123" s="54"/>
      <c r="AB123" t="s">
        <v>101</v>
      </c>
      <c r="AC123" s="54" t="e">
        <f t="shared" si="2"/>
        <v>#VALUE!</v>
      </c>
      <c r="AE123" s="54">
        <f t="shared" si="3"/>
        <v>0</v>
      </c>
      <c r="AH123" s="54"/>
    </row>
    <row r="124" spans="1:34" x14ac:dyDescent="0.25">
      <c r="A124">
        <v>1</v>
      </c>
      <c r="B124">
        <v>2017</v>
      </c>
      <c r="C124">
        <v>64</v>
      </c>
      <c r="D124" t="s">
        <v>38</v>
      </c>
      <c r="E124" t="s">
        <v>74</v>
      </c>
      <c r="F124">
        <v>62.05</v>
      </c>
      <c r="G124" t="s">
        <v>98</v>
      </c>
      <c r="H124">
        <v>3</v>
      </c>
      <c r="I124">
        <v>4</v>
      </c>
      <c r="J124">
        <v>25.2334</v>
      </c>
      <c r="K124">
        <v>2017</v>
      </c>
      <c r="L124">
        <v>10</v>
      </c>
      <c r="M124" s="54">
        <f>AG124+AH124</f>
        <v>1616.1739130000001</v>
      </c>
      <c r="N124">
        <v>1</v>
      </c>
      <c r="O124">
        <v>2</v>
      </c>
      <c r="P124">
        <v>1</v>
      </c>
      <c r="Q124">
        <v>4</v>
      </c>
      <c r="R124">
        <v>4</v>
      </c>
      <c r="S124">
        <v>2</v>
      </c>
      <c r="T124" t="s">
        <v>218</v>
      </c>
      <c r="U124">
        <v>5</v>
      </c>
      <c r="V124">
        <v>57.242839799225592</v>
      </c>
      <c r="Y124">
        <v>5</v>
      </c>
      <c r="Z124">
        <v>17.02</v>
      </c>
      <c r="AB124">
        <v>0.2168521906021704</v>
      </c>
      <c r="AC124" s="54">
        <f t="shared" si="2"/>
        <v>13.455678426864672</v>
      </c>
      <c r="AD124">
        <v>12.116799035051461</v>
      </c>
      <c r="AE124" s="54">
        <f t="shared" si="3"/>
        <v>1.211679903505146</v>
      </c>
      <c r="AG124">
        <v>914</v>
      </c>
      <c r="AH124" s="54">
        <v>702.17391299999997</v>
      </c>
    </row>
    <row r="125" spans="1:34" x14ac:dyDescent="0.25">
      <c r="A125">
        <v>1</v>
      </c>
      <c r="M125" s="54"/>
      <c r="AB125" t="s">
        <v>101</v>
      </c>
      <c r="AC125" s="54" t="e">
        <f t="shared" si="2"/>
        <v>#VALUE!</v>
      </c>
      <c r="AE125" s="54">
        <f t="shared" si="3"/>
        <v>0</v>
      </c>
      <c r="AH125" s="54"/>
    </row>
    <row r="126" spans="1:34" x14ac:dyDescent="0.25">
      <c r="A126">
        <v>1</v>
      </c>
      <c r="B126">
        <v>2017</v>
      </c>
      <c r="C126">
        <v>64</v>
      </c>
      <c r="D126" t="s">
        <v>38</v>
      </c>
      <c r="E126" t="s">
        <v>77</v>
      </c>
      <c r="F126">
        <v>62.05</v>
      </c>
      <c r="G126" t="s">
        <v>98</v>
      </c>
      <c r="H126">
        <v>3</v>
      </c>
      <c r="I126">
        <v>4</v>
      </c>
      <c r="J126">
        <v>25.2334</v>
      </c>
      <c r="K126">
        <v>2017</v>
      </c>
      <c r="L126">
        <v>10</v>
      </c>
      <c r="M126" s="54">
        <f>AG126+AH126</f>
        <v>1616.1739130000001</v>
      </c>
      <c r="N126">
        <v>3</v>
      </c>
      <c r="O126">
        <v>3</v>
      </c>
      <c r="P126">
        <v>1</v>
      </c>
      <c r="Q126">
        <v>4</v>
      </c>
      <c r="R126">
        <v>3</v>
      </c>
      <c r="S126">
        <v>2</v>
      </c>
      <c r="T126" t="s">
        <v>218</v>
      </c>
      <c r="U126">
        <v>2</v>
      </c>
      <c r="V126">
        <v>20</v>
      </c>
      <c r="Y126">
        <v>6</v>
      </c>
      <c r="Z126">
        <v>17.02</v>
      </c>
      <c r="AB126">
        <v>0.2168521906021704</v>
      </c>
      <c r="AC126" s="54">
        <f t="shared" si="2"/>
        <v>13.455678426864672</v>
      </c>
      <c r="AD126">
        <v>11.369693645291777</v>
      </c>
      <c r="AE126" s="54">
        <f t="shared" si="3"/>
        <v>1.1369693645291776</v>
      </c>
      <c r="AG126">
        <v>914</v>
      </c>
      <c r="AH126" s="54">
        <v>702.17391299999997</v>
      </c>
    </row>
    <row r="127" spans="1:34" x14ac:dyDescent="0.25">
      <c r="A127">
        <v>1</v>
      </c>
      <c r="M127" s="54"/>
      <c r="AB127" t="s">
        <v>101</v>
      </c>
      <c r="AC127" s="54" t="e">
        <f t="shared" si="2"/>
        <v>#VALUE!</v>
      </c>
      <c r="AE127" s="54">
        <f t="shared" si="3"/>
        <v>0</v>
      </c>
      <c r="AH127" s="54"/>
    </row>
    <row r="128" spans="1:34" x14ac:dyDescent="0.25">
      <c r="A128">
        <v>1</v>
      </c>
      <c r="B128">
        <v>2017</v>
      </c>
      <c r="C128">
        <v>10</v>
      </c>
      <c r="D128" t="s">
        <v>39</v>
      </c>
      <c r="E128" t="s">
        <v>292</v>
      </c>
      <c r="F128">
        <v>58.37</v>
      </c>
      <c r="G128" t="s">
        <v>217</v>
      </c>
      <c r="H128">
        <v>1</v>
      </c>
      <c r="I128">
        <v>9</v>
      </c>
      <c r="J128">
        <v>25.765899999999998</v>
      </c>
      <c r="K128">
        <v>2017</v>
      </c>
      <c r="L128">
        <v>10</v>
      </c>
      <c r="M128" s="54">
        <f>AG128+AH128</f>
        <v>1400.8695652000001</v>
      </c>
      <c r="N128">
        <v>1</v>
      </c>
      <c r="O128">
        <v>1</v>
      </c>
      <c r="P128">
        <v>1</v>
      </c>
      <c r="Q128">
        <v>3</v>
      </c>
      <c r="R128">
        <v>5</v>
      </c>
      <c r="S128">
        <v>1</v>
      </c>
      <c r="T128" t="s">
        <v>218</v>
      </c>
      <c r="U128">
        <v>8</v>
      </c>
      <c r="V128">
        <v>66.077820512656615</v>
      </c>
      <c r="X128">
        <v>66.077820512656615</v>
      </c>
      <c r="Y128">
        <v>8</v>
      </c>
      <c r="Z128">
        <v>19.32</v>
      </c>
      <c r="AB128">
        <v>0.22336252778138957</v>
      </c>
      <c r="AC128" s="54">
        <f t="shared" si="2"/>
        <v>13.037670746599709</v>
      </c>
      <c r="AD128">
        <v>21.711825702693151</v>
      </c>
      <c r="AE128" s="54">
        <f t="shared" si="3"/>
        <v>2.1711825702693153</v>
      </c>
      <c r="AG128">
        <v>740</v>
      </c>
      <c r="AH128" s="54">
        <v>660.86956520000001</v>
      </c>
    </row>
    <row r="129" spans="1:34" x14ac:dyDescent="0.25">
      <c r="A129">
        <v>1</v>
      </c>
      <c r="M129" s="54"/>
      <c r="AB129" t="s">
        <v>101</v>
      </c>
      <c r="AC129" s="54" t="e">
        <f t="shared" si="2"/>
        <v>#VALUE!</v>
      </c>
      <c r="AE129" s="54">
        <f t="shared" si="3"/>
        <v>0</v>
      </c>
      <c r="AH129" s="54"/>
    </row>
    <row r="130" spans="1:34" x14ac:dyDescent="0.25">
      <c r="A130">
        <v>1</v>
      </c>
      <c r="B130">
        <v>2017</v>
      </c>
      <c r="C130">
        <v>10</v>
      </c>
      <c r="D130" t="s">
        <v>39</v>
      </c>
      <c r="E130" t="s">
        <v>74</v>
      </c>
      <c r="F130">
        <v>58.37</v>
      </c>
      <c r="G130" t="s">
        <v>217</v>
      </c>
      <c r="H130">
        <v>1</v>
      </c>
      <c r="I130">
        <v>9</v>
      </c>
      <c r="J130">
        <v>25.765899999999998</v>
      </c>
      <c r="K130">
        <v>2017</v>
      </c>
      <c r="L130">
        <v>10</v>
      </c>
      <c r="M130" s="54">
        <f>AG130+AH130</f>
        <v>1400.8695652000001</v>
      </c>
      <c r="N130">
        <v>1</v>
      </c>
      <c r="O130">
        <v>2</v>
      </c>
      <c r="P130">
        <v>1</v>
      </c>
      <c r="Q130">
        <v>3</v>
      </c>
      <c r="R130">
        <v>4</v>
      </c>
      <c r="S130">
        <v>2</v>
      </c>
      <c r="T130" t="s">
        <v>218</v>
      </c>
      <c r="U130">
        <v>5</v>
      </c>
      <c r="V130">
        <v>52.862256410125298</v>
      </c>
      <c r="Y130">
        <v>5</v>
      </c>
      <c r="Z130">
        <v>19.32</v>
      </c>
      <c r="AB130">
        <v>0.22336252778138957</v>
      </c>
      <c r="AC130" s="54">
        <f t="shared" si="2"/>
        <v>13.037670746599709</v>
      </c>
      <c r="AD130">
        <v>14.641743190104773</v>
      </c>
      <c r="AE130" s="54">
        <f t="shared" si="3"/>
        <v>1.4641743190104772</v>
      </c>
      <c r="AG130">
        <v>740</v>
      </c>
      <c r="AH130" s="54">
        <v>660.86956520000001</v>
      </c>
    </row>
    <row r="131" spans="1:34" x14ac:dyDescent="0.25">
      <c r="A131">
        <v>1</v>
      </c>
      <c r="M131" s="54"/>
      <c r="AB131" t="s">
        <v>101</v>
      </c>
      <c r="AC131" s="54" t="e">
        <f t="shared" ref="AC131:AC180" si="4">F131*AB131</f>
        <v>#VALUE!</v>
      </c>
      <c r="AE131" s="54">
        <f t="shared" ref="AE131:AE180" si="5">AD131/10</f>
        <v>0</v>
      </c>
      <c r="AH131" s="54"/>
    </row>
    <row r="132" spans="1:34" x14ac:dyDescent="0.25">
      <c r="A132">
        <v>1</v>
      </c>
      <c r="B132">
        <v>2017</v>
      </c>
      <c r="C132">
        <v>10</v>
      </c>
      <c r="D132" t="s">
        <v>39</v>
      </c>
      <c r="E132" t="s">
        <v>77</v>
      </c>
      <c r="F132">
        <v>58.37</v>
      </c>
      <c r="G132" t="s">
        <v>217</v>
      </c>
      <c r="H132">
        <v>1</v>
      </c>
      <c r="I132">
        <v>9</v>
      </c>
      <c r="J132">
        <v>25.765899999999998</v>
      </c>
      <c r="K132">
        <v>2017</v>
      </c>
      <c r="L132">
        <v>10</v>
      </c>
      <c r="M132" s="54">
        <f>AG132+AH132</f>
        <v>1400.8695652000001</v>
      </c>
      <c r="N132">
        <v>3</v>
      </c>
      <c r="O132">
        <v>3</v>
      </c>
      <c r="P132">
        <v>1</v>
      </c>
      <c r="Q132">
        <v>3</v>
      </c>
      <c r="R132">
        <v>3</v>
      </c>
      <c r="S132">
        <v>2</v>
      </c>
      <c r="T132" t="s">
        <v>218</v>
      </c>
      <c r="U132">
        <v>2</v>
      </c>
      <c r="V132">
        <v>20</v>
      </c>
      <c r="Y132">
        <v>6</v>
      </c>
      <c r="Z132">
        <v>19.32</v>
      </c>
      <c r="AB132">
        <v>0.22336252778138957</v>
      </c>
      <c r="AC132" s="54">
        <f t="shared" si="4"/>
        <v>13.037670746599709</v>
      </c>
      <c r="AD132">
        <v>14.488813000368763</v>
      </c>
      <c r="AE132" s="54">
        <f t="shared" si="5"/>
        <v>1.4488813000368763</v>
      </c>
      <c r="AG132">
        <v>740</v>
      </c>
      <c r="AH132" s="54">
        <v>660.86956520000001</v>
      </c>
    </row>
    <row r="133" spans="1:34" x14ac:dyDescent="0.25">
      <c r="A133">
        <v>1</v>
      </c>
      <c r="M133" s="54"/>
      <c r="AB133" t="s">
        <v>101</v>
      </c>
      <c r="AC133" s="54" t="e">
        <f t="shared" si="4"/>
        <v>#VALUE!</v>
      </c>
      <c r="AE133" s="54">
        <f t="shared" si="5"/>
        <v>0</v>
      </c>
      <c r="AH133" s="54"/>
    </row>
    <row r="134" spans="1:34" x14ac:dyDescent="0.25">
      <c r="A134">
        <v>1</v>
      </c>
      <c r="B134">
        <v>2017</v>
      </c>
      <c r="C134">
        <v>25</v>
      </c>
      <c r="D134" t="s">
        <v>40</v>
      </c>
      <c r="E134" t="s">
        <v>292</v>
      </c>
      <c r="F134">
        <v>121.12</v>
      </c>
      <c r="G134" t="s">
        <v>217</v>
      </c>
      <c r="H134">
        <v>2</v>
      </c>
      <c r="I134">
        <v>3</v>
      </c>
      <c r="J134">
        <v>23.330599999999997</v>
      </c>
      <c r="K134">
        <v>2017</v>
      </c>
      <c r="L134">
        <v>10</v>
      </c>
      <c r="M134" s="54">
        <f>AG134+AH134</f>
        <v>1144.6956522</v>
      </c>
      <c r="N134">
        <v>1</v>
      </c>
      <c r="O134">
        <v>1</v>
      </c>
      <c r="P134">
        <v>1</v>
      </c>
      <c r="Q134">
        <v>4</v>
      </c>
      <c r="R134">
        <v>5</v>
      </c>
      <c r="S134">
        <v>1</v>
      </c>
      <c r="T134" t="s">
        <v>218</v>
      </c>
      <c r="U134">
        <v>8</v>
      </c>
      <c r="V134">
        <v>81.129118977449139</v>
      </c>
      <c r="X134">
        <v>81.129118977449139</v>
      </c>
      <c r="Y134">
        <v>8</v>
      </c>
      <c r="Z134">
        <v>50.6</v>
      </c>
      <c r="AB134">
        <v>0.23289332006566729</v>
      </c>
      <c r="AC134" s="54">
        <f t="shared" si="4"/>
        <v>28.208038926353623</v>
      </c>
      <c r="AD134">
        <v>32.027663462462989</v>
      </c>
      <c r="AE134" s="54">
        <f t="shared" si="5"/>
        <v>3.2027663462462987</v>
      </c>
      <c r="AG134">
        <v>711</v>
      </c>
      <c r="AH134" s="54">
        <v>433.69565219999998</v>
      </c>
    </row>
    <row r="135" spans="1:34" x14ac:dyDescent="0.25">
      <c r="A135">
        <v>1</v>
      </c>
      <c r="M135" s="54"/>
      <c r="AB135" t="s">
        <v>101</v>
      </c>
      <c r="AC135" s="54" t="e">
        <f t="shared" si="4"/>
        <v>#VALUE!</v>
      </c>
      <c r="AE135" s="54">
        <f t="shared" si="5"/>
        <v>0</v>
      </c>
      <c r="AH135" s="54"/>
    </row>
    <row r="136" spans="1:34" x14ac:dyDescent="0.25">
      <c r="A136">
        <v>1</v>
      </c>
      <c r="B136">
        <v>2017</v>
      </c>
      <c r="C136">
        <v>25</v>
      </c>
      <c r="D136" t="s">
        <v>40</v>
      </c>
      <c r="E136" t="s">
        <v>74</v>
      </c>
      <c r="F136">
        <v>121.12</v>
      </c>
      <c r="G136" t="s">
        <v>217</v>
      </c>
      <c r="H136">
        <v>2</v>
      </c>
      <c r="I136">
        <v>3</v>
      </c>
      <c r="J136">
        <v>23.330599999999997</v>
      </c>
      <c r="K136">
        <v>2017</v>
      </c>
      <c r="L136">
        <v>10</v>
      </c>
      <c r="M136" s="54">
        <f>AG136+AH136</f>
        <v>1144.6956522</v>
      </c>
      <c r="N136">
        <v>1</v>
      </c>
      <c r="O136">
        <v>2</v>
      </c>
      <c r="P136">
        <v>1</v>
      </c>
      <c r="Q136">
        <v>4</v>
      </c>
      <c r="R136">
        <v>4</v>
      </c>
      <c r="S136">
        <v>2</v>
      </c>
      <c r="T136" t="s">
        <v>218</v>
      </c>
      <c r="U136">
        <v>5</v>
      </c>
      <c r="V136">
        <v>64.903295181959308</v>
      </c>
      <c r="Y136">
        <v>5</v>
      </c>
      <c r="Z136">
        <v>50.6</v>
      </c>
      <c r="AB136">
        <v>0.23289332006566729</v>
      </c>
      <c r="AC136" s="54">
        <f t="shared" si="4"/>
        <v>28.208038926353623</v>
      </c>
      <c r="AD136">
        <v>21.660630802370321</v>
      </c>
      <c r="AE136" s="54">
        <f t="shared" si="5"/>
        <v>2.166063080237032</v>
      </c>
      <c r="AG136">
        <v>711</v>
      </c>
      <c r="AH136" s="54">
        <v>433.69565219999998</v>
      </c>
    </row>
    <row r="137" spans="1:34" x14ac:dyDescent="0.25">
      <c r="A137">
        <v>1</v>
      </c>
      <c r="M137" s="54"/>
      <c r="AB137" t="s">
        <v>101</v>
      </c>
      <c r="AC137" s="54" t="e">
        <f t="shared" si="4"/>
        <v>#VALUE!</v>
      </c>
      <c r="AE137" s="54">
        <f t="shared" si="5"/>
        <v>0</v>
      </c>
      <c r="AH137" s="54"/>
    </row>
    <row r="138" spans="1:34" x14ac:dyDescent="0.25">
      <c r="A138">
        <v>1</v>
      </c>
      <c r="B138">
        <v>2017</v>
      </c>
      <c r="C138">
        <v>25</v>
      </c>
      <c r="D138" t="s">
        <v>40</v>
      </c>
      <c r="E138" t="s">
        <v>77</v>
      </c>
      <c r="F138">
        <v>121.12</v>
      </c>
      <c r="G138" t="s">
        <v>217</v>
      </c>
      <c r="H138">
        <v>2</v>
      </c>
      <c r="I138">
        <v>3</v>
      </c>
      <c r="J138">
        <v>23.330599999999997</v>
      </c>
      <c r="K138">
        <v>2017</v>
      </c>
      <c r="L138">
        <v>10</v>
      </c>
      <c r="M138" s="54">
        <f>AG138+AH138</f>
        <v>1144.6956522</v>
      </c>
      <c r="N138">
        <v>3</v>
      </c>
      <c r="O138">
        <v>3</v>
      </c>
      <c r="P138">
        <v>1</v>
      </c>
      <c r="Q138">
        <v>4</v>
      </c>
      <c r="R138">
        <v>3</v>
      </c>
      <c r="S138">
        <v>2</v>
      </c>
      <c r="T138" t="s">
        <v>218</v>
      </c>
      <c r="U138">
        <v>2</v>
      </c>
      <c r="V138">
        <v>20</v>
      </c>
      <c r="Y138">
        <v>6</v>
      </c>
      <c r="Z138">
        <v>50.6</v>
      </c>
      <c r="AB138">
        <v>0.23289332006566729</v>
      </c>
      <c r="AC138" s="54">
        <f t="shared" si="4"/>
        <v>28.208038926353623</v>
      </c>
      <c r="AD138">
        <v>21.177590224831011</v>
      </c>
      <c r="AE138" s="54">
        <f t="shared" si="5"/>
        <v>2.1177590224831011</v>
      </c>
      <c r="AG138">
        <v>711</v>
      </c>
      <c r="AH138" s="54">
        <v>433.69565219999998</v>
      </c>
    </row>
    <row r="139" spans="1:34" x14ac:dyDescent="0.25">
      <c r="A139">
        <v>1</v>
      </c>
      <c r="M139" s="54"/>
      <c r="AB139" t="s">
        <v>101</v>
      </c>
      <c r="AC139" s="54" t="e">
        <f t="shared" si="4"/>
        <v>#VALUE!</v>
      </c>
      <c r="AE139" s="54">
        <f t="shared" si="5"/>
        <v>0</v>
      </c>
      <c r="AH139" s="54"/>
    </row>
    <row r="140" spans="1:34" x14ac:dyDescent="0.25">
      <c r="A140">
        <v>1</v>
      </c>
      <c r="B140">
        <v>2017</v>
      </c>
      <c r="C140">
        <v>34</v>
      </c>
      <c r="D140" t="s">
        <v>41</v>
      </c>
      <c r="E140" t="s">
        <v>292</v>
      </c>
      <c r="F140">
        <v>23.24</v>
      </c>
      <c r="G140" t="s">
        <v>217</v>
      </c>
      <c r="H140">
        <v>3</v>
      </c>
      <c r="I140">
        <v>6</v>
      </c>
      <c r="J140">
        <v>20.263399999999997</v>
      </c>
      <c r="K140">
        <v>2017</v>
      </c>
      <c r="L140">
        <v>10</v>
      </c>
      <c r="M140" s="54">
        <f>AG140+AH140</f>
        <v>1861.3478261</v>
      </c>
      <c r="N140">
        <v>1</v>
      </c>
      <c r="O140">
        <v>1</v>
      </c>
      <c r="P140">
        <v>1</v>
      </c>
      <c r="Q140">
        <v>4</v>
      </c>
      <c r="R140">
        <v>5</v>
      </c>
      <c r="S140">
        <v>1</v>
      </c>
      <c r="T140" t="s">
        <v>218</v>
      </c>
      <c r="U140">
        <v>8</v>
      </c>
      <c r="V140">
        <v>100.53815397832226</v>
      </c>
      <c r="X140">
        <v>100.53815397832226</v>
      </c>
      <c r="Y140">
        <v>8</v>
      </c>
      <c r="Z140">
        <v>11.04</v>
      </c>
      <c r="AB140">
        <v>0.21060694222924511</v>
      </c>
      <c r="AC140" s="54">
        <f t="shared" si="4"/>
        <v>4.8945053374076561</v>
      </c>
      <c r="AD140">
        <v>9.4428551979494966</v>
      </c>
      <c r="AE140" s="54">
        <f t="shared" si="5"/>
        <v>0.94428551979494968</v>
      </c>
      <c r="AG140">
        <v>932</v>
      </c>
      <c r="AH140" s="54">
        <v>929.34782610000002</v>
      </c>
    </row>
    <row r="141" spans="1:34" x14ac:dyDescent="0.25">
      <c r="A141">
        <v>1</v>
      </c>
      <c r="M141" s="54"/>
      <c r="AB141" t="s">
        <v>101</v>
      </c>
      <c r="AC141" s="54" t="e">
        <f t="shared" si="4"/>
        <v>#VALUE!</v>
      </c>
      <c r="AE141" s="54">
        <f t="shared" si="5"/>
        <v>0</v>
      </c>
      <c r="AH141" s="54"/>
    </row>
    <row r="142" spans="1:34" x14ac:dyDescent="0.25">
      <c r="A142">
        <v>1</v>
      </c>
      <c r="B142">
        <v>2017</v>
      </c>
      <c r="C142">
        <v>34</v>
      </c>
      <c r="D142" t="s">
        <v>41</v>
      </c>
      <c r="E142" t="s">
        <v>74</v>
      </c>
      <c r="F142">
        <v>23.24</v>
      </c>
      <c r="G142" t="s">
        <v>217</v>
      </c>
      <c r="H142">
        <v>3</v>
      </c>
      <c r="I142">
        <v>6</v>
      </c>
      <c r="J142">
        <v>20.263399999999997</v>
      </c>
      <c r="K142">
        <v>2017</v>
      </c>
      <c r="L142">
        <v>10</v>
      </c>
      <c r="M142" s="54">
        <f>AG142+AH142</f>
        <v>1861.3478261</v>
      </c>
      <c r="N142">
        <v>1</v>
      </c>
      <c r="O142">
        <v>2</v>
      </c>
      <c r="P142">
        <v>1</v>
      </c>
      <c r="Q142">
        <v>4</v>
      </c>
      <c r="R142">
        <v>4</v>
      </c>
      <c r="S142">
        <v>2</v>
      </c>
      <c r="T142" t="s">
        <v>218</v>
      </c>
      <c r="U142">
        <v>5</v>
      </c>
      <c r="V142">
        <v>80.430523182657808</v>
      </c>
      <c r="Y142">
        <v>5</v>
      </c>
      <c r="Z142">
        <v>11.04</v>
      </c>
      <c r="AB142">
        <v>0.21060694222924511</v>
      </c>
      <c r="AC142" s="54">
        <f t="shared" si="4"/>
        <v>4.8945053374076561</v>
      </c>
      <c r="AD142">
        <v>5.120659719462112</v>
      </c>
      <c r="AE142" s="54">
        <f t="shared" si="5"/>
        <v>0.51206597194621117</v>
      </c>
      <c r="AG142">
        <v>932</v>
      </c>
      <c r="AH142" s="54">
        <v>929.34782610000002</v>
      </c>
    </row>
    <row r="143" spans="1:34" x14ac:dyDescent="0.25">
      <c r="A143">
        <v>1</v>
      </c>
      <c r="M143" s="54"/>
      <c r="AB143" t="s">
        <v>101</v>
      </c>
      <c r="AC143" s="54" t="e">
        <f t="shared" si="4"/>
        <v>#VALUE!</v>
      </c>
      <c r="AE143" s="54">
        <f t="shared" si="5"/>
        <v>0</v>
      </c>
      <c r="AH143" s="54"/>
    </row>
    <row r="144" spans="1:34" x14ac:dyDescent="0.25">
      <c r="A144">
        <v>1</v>
      </c>
      <c r="B144">
        <v>2017</v>
      </c>
      <c r="C144">
        <v>34</v>
      </c>
      <c r="D144" t="s">
        <v>41</v>
      </c>
      <c r="E144" t="s">
        <v>77</v>
      </c>
      <c r="F144">
        <v>23.24</v>
      </c>
      <c r="G144" t="s">
        <v>217</v>
      </c>
      <c r="H144">
        <v>3</v>
      </c>
      <c r="I144">
        <v>6</v>
      </c>
      <c r="J144">
        <v>20.263399999999997</v>
      </c>
      <c r="K144">
        <v>2017</v>
      </c>
      <c r="L144">
        <v>10</v>
      </c>
      <c r="M144" s="54">
        <f>AG144+AH144</f>
        <v>1861.3478261</v>
      </c>
      <c r="N144">
        <v>3</v>
      </c>
      <c r="O144">
        <v>3</v>
      </c>
      <c r="P144">
        <v>1</v>
      </c>
      <c r="Q144">
        <v>4</v>
      </c>
      <c r="R144">
        <v>3</v>
      </c>
      <c r="S144">
        <v>2</v>
      </c>
      <c r="T144" t="s">
        <v>218</v>
      </c>
      <c r="U144">
        <v>2</v>
      </c>
      <c r="V144">
        <v>20</v>
      </c>
      <c r="Y144">
        <v>6</v>
      </c>
      <c r="Z144">
        <v>11.04</v>
      </c>
      <c r="AB144">
        <v>0.21060694222924511</v>
      </c>
      <c r="AC144" s="54">
        <f t="shared" si="4"/>
        <v>4.8945053374076561</v>
      </c>
      <c r="AD144">
        <v>4.9301272289579714</v>
      </c>
      <c r="AE144" s="54">
        <f t="shared" si="5"/>
        <v>0.49301272289579712</v>
      </c>
      <c r="AG144">
        <v>932</v>
      </c>
      <c r="AH144" s="54">
        <v>929.34782610000002</v>
      </c>
    </row>
    <row r="145" spans="1:34" x14ac:dyDescent="0.25">
      <c r="A145">
        <v>1</v>
      </c>
      <c r="M145" s="54"/>
      <c r="AB145" t="s">
        <v>101</v>
      </c>
      <c r="AC145" s="54" t="e">
        <f t="shared" si="4"/>
        <v>#VALUE!</v>
      </c>
      <c r="AE145" s="54">
        <f t="shared" si="5"/>
        <v>0</v>
      </c>
      <c r="AH145" s="54"/>
    </row>
    <row r="146" spans="1:34" x14ac:dyDescent="0.25">
      <c r="A146">
        <v>1</v>
      </c>
      <c r="B146">
        <v>2017</v>
      </c>
      <c r="C146">
        <v>87</v>
      </c>
      <c r="D146" t="s">
        <v>42</v>
      </c>
      <c r="E146" t="s">
        <v>292</v>
      </c>
      <c r="F146">
        <v>13.26</v>
      </c>
      <c r="G146" t="s">
        <v>217</v>
      </c>
      <c r="H146">
        <v>3</v>
      </c>
      <c r="I146">
        <v>5</v>
      </c>
      <c r="J146">
        <v>13.369299999999997</v>
      </c>
      <c r="K146">
        <v>2017</v>
      </c>
      <c r="L146">
        <v>10</v>
      </c>
      <c r="M146" s="54">
        <f>AG146+AH146</f>
        <v>1866.6956522</v>
      </c>
      <c r="N146">
        <v>1</v>
      </c>
      <c r="O146">
        <v>1</v>
      </c>
      <c r="P146">
        <v>1</v>
      </c>
      <c r="Q146">
        <v>4</v>
      </c>
      <c r="R146">
        <v>5</v>
      </c>
      <c r="S146">
        <v>1</v>
      </c>
      <c r="T146" t="s">
        <v>218</v>
      </c>
      <c r="U146">
        <v>8</v>
      </c>
      <c r="V146">
        <v>81.356081170293564</v>
      </c>
      <c r="X146">
        <v>81.356081170293564</v>
      </c>
      <c r="Y146">
        <v>8</v>
      </c>
      <c r="Z146">
        <v>11.96</v>
      </c>
      <c r="AB146">
        <v>0.2104819650021737</v>
      </c>
      <c r="AC146" s="54">
        <f t="shared" si="4"/>
        <v>2.7909908559288232</v>
      </c>
      <c r="AD146">
        <v>5.3412052806477153</v>
      </c>
      <c r="AE146" s="54">
        <f t="shared" si="5"/>
        <v>0.5341205280647715</v>
      </c>
      <c r="AG146">
        <v>958</v>
      </c>
      <c r="AH146" s="54">
        <v>908.69565220000004</v>
      </c>
    </row>
    <row r="147" spans="1:34" x14ac:dyDescent="0.25">
      <c r="A147">
        <v>1</v>
      </c>
      <c r="M147" s="54"/>
      <c r="AB147" t="s">
        <v>101</v>
      </c>
      <c r="AC147" s="54" t="e">
        <f t="shared" si="4"/>
        <v>#VALUE!</v>
      </c>
      <c r="AE147" s="54">
        <f t="shared" si="5"/>
        <v>0</v>
      </c>
      <c r="AH147" s="54"/>
    </row>
    <row r="148" spans="1:34" x14ac:dyDescent="0.25">
      <c r="A148">
        <v>1</v>
      </c>
      <c r="B148">
        <v>2017</v>
      </c>
      <c r="C148">
        <v>87</v>
      </c>
      <c r="D148" t="s">
        <v>42</v>
      </c>
      <c r="E148" t="s">
        <v>74</v>
      </c>
      <c r="F148">
        <v>13.26</v>
      </c>
      <c r="G148" t="s">
        <v>217</v>
      </c>
      <c r="H148">
        <v>3</v>
      </c>
      <c r="I148">
        <v>5</v>
      </c>
      <c r="J148">
        <v>13.369299999999997</v>
      </c>
      <c r="K148">
        <v>2017</v>
      </c>
      <c r="L148">
        <v>10</v>
      </c>
      <c r="M148" s="54">
        <f>AG148+AH148</f>
        <v>1866.6956522</v>
      </c>
      <c r="N148">
        <v>1</v>
      </c>
      <c r="O148">
        <v>2</v>
      </c>
      <c r="P148">
        <v>1</v>
      </c>
      <c r="Q148">
        <v>4</v>
      </c>
      <c r="R148">
        <v>4</v>
      </c>
      <c r="S148">
        <v>2</v>
      </c>
      <c r="T148" t="s">
        <v>218</v>
      </c>
      <c r="U148">
        <v>5</v>
      </c>
      <c r="V148">
        <v>65.084864936234851</v>
      </c>
      <c r="Y148">
        <v>5</v>
      </c>
      <c r="Z148">
        <v>11.96</v>
      </c>
      <c r="AB148">
        <v>0.2104819650021737</v>
      </c>
      <c r="AC148" s="54">
        <f t="shared" si="4"/>
        <v>2.7909908559288232</v>
      </c>
      <c r="AD148">
        <v>2.789369230907683</v>
      </c>
      <c r="AE148" s="54">
        <f t="shared" si="5"/>
        <v>0.27893692309076829</v>
      </c>
      <c r="AG148">
        <v>958</v>
      </c>
      <c r="AH148" s="54">
        <v>908.69565220000004</v>
      </c>
    </row>
    <row r="149" spans="1:34" x14ac:dyDescent="0.25">
      <c r="A149">
        <v>1</v>
      </c>
      <c r="M149" s="54"/>
      <c r="AB149" t="s">
        <v>101</v>
      </c>
      <c r="AC149" s="54" t="e">
        <f t="shared" si="4"/>
        <v>#VALUE!</v>
      </c>
      <c r="AE149" s="54">
        <f t="shared" si="5"/>
        <v>0</v>
      </c>
      <c r="AH149" s="54"/>
    </row>
    <row r="150" spans="1:34" x14ac:dyDescent="0.25">
      <c r="A150">
        <v>1</v>
      </c>
      <c r="B150">
        <v>2017</v>
      </c>
      <c r="C150">
        <v>87</v>
      </c>
      <c r="D150" t="s">
        <v>42</v>
      </c>
      <c r="E150" t="s">
        <v>77</v>
      </c>
      <c r="F150">
        <v>13.26</v>
      </c>
      <c r="G150" t="s">
        <v>217</v>
      </c>
      <c r="H150">
        <v>3</v>
      </c>
      <c r="I150">
        <v>5</v>
      </c>
      <c r="J150">
        <v>13.369299999999997</v>
      </c>
      <c r="K150">
        <v>2017</v>
      </c>
      <c r="L150">
        <v>10</v>
      </c>
      <c r="M150" s="54">
        <f>AG150+AH150</f>
        <v>1866.6956522</v>
      </c>
      <c r="N150">
        <v>3</v>
      </c>
      <c r="O150">
        <v>3</v>
      </c>
      <c r="P150">
        <v>1</v>
      </c>
      <c r="Q150">
        <v>4</v>
      </c>
      <c r="R150">
        <v>3</v>
      </c>
      <c r="S150">
        <v>2</v>
      </c>
      <c r="T150" t="s">
        <v>218</v>
      </c>
      <c r="U150">
        <v>2</v>
      </c>
      <c r="V150">
        <v>20</v>
      </c>
      <c r="Y150">
        <v>6</v>
      </c>
      <c r="Z150">
        <v>11.96</v>
      </c>
      <c r="AB150">
        <v>0.2104819650021737</v>
      </c>
      <c r="AC150" s="54">
        <f t="shared" si="4"/>
        <v>2.7909908559288232</v>
      </c>
      <c r="AD150">
        <v>2.6722196072413062</v>
      </c>
      <c r="AE150" s="54">
        <f t="shared" si="5"/>
        <v>0.26722196072413062</v>
      </c>
      <c r="AG150">
        <v>958</v>
      </c>
      <c r="AH150" s="54">
        <v>908.69565220000004</v>
      </c>
    </row>
    <row r="151" spans="1:34" x14ac:dyDescent="0.25">
      <c r="A151">
        <v>1</v>
      </c>
      <c r="M151" s="54"/>
      <c r="AB151" t="s">
        <v>101</v>
      </c>
      <c r="AC151" s="54" t="e">
        <f t="shared" si="4"/>
        <v>#VALUE!</v>
      </c>
      <c r="AE151" s="54">
        <f t="shared" si="5"/>
        <v>0</v>
      </c>
      <c r="AH151" s="54"/>
    </row>
    <row r="152" spans="1:34" x14ac:dyDescent="0.25">
      <c r="A152">
        <v>1</v>
      </c>
      <c r="B152">
        <v>2017</v>
      </c>
      <c r="C152">
        <v>44</v>
      </c>
      <c r="D152" t="s">
        <v>93</v>
      </c>
      <c r="E152" t="s">
        <v>292</v>
      </c>
      <c r="F152">
        <v>5.66</v>
      </c>
      <c r="G152" t="s">
        <v>98</v>
      </c>
      <c r="H152">
        <v>2</v>
      </c>
      <c r="I152">
        <v>6</v>
      </c>
      <c r="J152">
        <v>14.448500000000001</v>
      </c>
      <c r="K152">
        <v>2017</v>
      </c>
      <c r="L152">
        <v>10</v>
      </c>
      <c r="M152" s="54">
        <f>AG152+AH152</f>
        <v>2006.9565219999999</v>
      </c>
      <c r="N152">
        <v>1</v>
      </c>
      <c r="O152">
        <v>1</v>
      </c>
      <c r="P152">
        <v>1</v>
      </c>
      <c r="Q152">
        <v>3</v>
      </c>
      <c r="R152">
        <v>5</v>
      </c>
      <c r="S152">
        <v>1</v>
      </c>
      <c r="T152" t="s">
        <v>218</v>
      </c>
      <c r="U152">
        <v>8</v>
      </c>
      <c r="V152">
        <v>104.07273105182725</v>
      </c>
      <c r="X152">
        <v>104.07273105182725</v>
      </c>
      <c r="Y152">
        <v>8</v>
      </c>
      <c r="Z152">
        <v>0.69</v>
      </c>
      <c r="AB152">
        <v>0.2073504084558585</v>
      </c>
      <c r="AC152" s="54">
        <f t="shared" si="4"/>
        <v>1.1736033118601592</v>
      </c>
      <c r="AD152">
        <v>7.1580884418856403</v>
      </c>
      <c r="AE152" s="54">
        <f t="shared" si="5"/>
        <v>0.71580884418856405</v>
      </c>
      <c r="AG152">
        <v>995</v>
      </c>
      <c r="AH152" s="54">
        <v>1011.9565219999999</v>
      </c>
    </row>
    <row r="153" spans="1:34" x14ac:dyDescent="0.25">
      <c r="A153">
        <v>1</v>
      </c>
      <c r="M153" s="54"/>
      <c r="AB153" t="s">
        <v>101</v>
      </c>
      <c r="AC153" s="54" t="e">
        <f t="shared" si="4"/>
        <v>#VALUE!</v>
      </c>
      <c r="AE153" s="54">
        <f t="shared" si="5"/>
        <v>0</v>
      </c>
      <c r="AH153" s="54"/>
    </row>
    <row r="154" spans="1:34" x14ac:dyDescent="0.25">
      <c r="A154">
        <v>1</v>
      </c>
      <c r="B154">
        <v>2017</v>
      </c>
      <c r="C154">
        <v>44</v>
      </c>
      <c r="D154" t="s">
        <v>93</v>
      </c>
      <c r="E154" t="s">
        <v>74</v>
      </c>
      <c r="F154">
        <v>5.66</v>
      </c>
      <c r="G154" t="s">
        <v>98</v>
      </c>
      <c r="H154">
        <v>2</v>
      </c>
      <c r="I154">
        <v>6</v>
      </c>
      <c r="J154">
        <v>14.448500000000001</v>
      </c>
      <c r="K154">
        <v>2017</v>
      </c>
      <c r="L154">
        <v>10</v>
      </c>
      <c r="M154" s="54">
        <f>AG154+AH154</f>
        <v>2006.9565219999999</v>
      </c>
      <c r="N154">
        <v>1</v>
      </c>
      <c r="O154">
        <v>2</v>
      </c>
      <c r="P154">
        <v>1</v>
      </c>
      <c r="Q154">
        <v>3</v>
      </c>
      <c r="R154">
        <v>4</v>
      </c>
      <c r="S154">
        <v>2</v>
      </c>
      <c r="T154" t="s">
        <v>218</v>
      </c>
      <c r="U154">
        <v>5</v>
      </c>
      <c r="V154">
        <v>83.258184841461798</v>
      </c>
      <c r="Y154">
        <v>5</v>
      </c>
      <c r="Z154">
        <v>0.69</v>
      </c>
      <c r="AB154">
        <v>0.2073504084558585</v>
      </c>
      <c r="AC154" s="54">
        <f t="shared" si="4"/>
        <v>1.1736033118601592</v>
      </c>
      <c r="AD154">
        <v>2.1992443221560665</v>
      </c>
      <c r="AE154" s="54">
        <f t="shared" si="5"/>
        <v>0.21992443221560665</v>
      </c>
      <c r="AG154">
        <v>995</v>
      </c>
      <c r="AH154" s="54">
        <v>1011.9565219999999</v>
      </c>
    </row>
    <row r="155" spans="1:34" x14ac:dyDescent="0.25">
      <c r="A155">
        <v>1</v>
      </c>
      <c r="M155" s="54"/>
      <c r="AB155" t="s">
        <v>101</v>
      </c>
      <c r="AC155" s="54" t="e">
        <f t="shared" si="4"/>
        <v>#VALUE!</v>
      </c>
      <c r="AE155" s="54">
        <f t="shared" si="5"/>
        <v>0</v>
      </c>
      <c r="AH155" s="54"/>
    </row>
    <row r="156" spans="1:34" x14ac:dyDescent="0.25">
      <c r="A156">
        <v>1</v>
      </c>
      <c r="B156">
        <v>2017</v>
      </c>
      <c r="C156">
        <v>44</v>
      </c>
      <c r="D156" t="s">
        <v>93</v>
      </c>
      <c r="E156" t="s">
        <v>77</v>
      </c>
      <c r="F156">
        <v>5.66</v>
      </c>
      <c r="G156" t="s">
        <v>98</v>
      </c>
      <c r="H156">
        <v>2</v>
      </c>
      <c r="I156">
        <v>6</v>
      </c>
      <c r="J156">
        <v>14.448500000000001</v>
      </c>
      <c r="K156">
        <v>2017</v>
      </c>
      <c r="L156">
        <v>10</v>
      </c>
      <c r="M156" s="54">
        <f>AG156+AH156</f>
        <v>2006.9565219999999</v>
      </c>
      <c r="N156">
        <v>3</v>
      </c>
      <c r="O156">
        <v>3</v>
      </c>
      <c r="P156">
        <v>1</v>
      </c>
      <c r="Q156">
        <v>3</v>
      </c>
      <c r="R156">
        <v>3</v>
      </c>
      <c r="S156">
        <v>2</v>
      </c>
      <c r="T156" t="s">
        <v>218</v>
      </c>
      <c r="U156">
        <v>2</v>
      </c>
      <c r="V156">
        <v>20</v>
      </c>
      <c r="Y156">
        <v>6</v>
      </c>
      <c r="Z156">
        <v>0.69</v>
      </c>
      <c r="AB156">
        <v>0.2073504084558585</v>
      </c>
      <c r="AC156" s="54">
        <f t="shared" si="4"/>
        <v>1.1736033118601592</v>
      </c>
      <c r="AD156">
        <v>1.7946185292884076</v>
      </c>
      <c r="AE156" s="54">
        <f t="shared" si="5"/>
        <v>0.17946185292884076</v>
      </c>
      <c r="AG156">
        <v>995</v>
      </c>
      <c r="AH156" s="54">
        <v>1011.9565219999999</v>
      </c>
    </row>
    <row r="157" spans="1:34" x14ac:dyDescent="0.25">
      <c r="A157">
        <v>1</v>
      </c>
      <c r="M157" s="54"/>
      <c r="AB157" t="s">
        <v>101</v>
      </c>
      <c r="AC157" s="54" t="e">
        <f t="shared" si="4"/>
        <v>#VALUE!</v>
      </c>
      <c r="AE157" s="54">
        <f t="shared" si="5"/>
        <v>0</v>
      </c>
      <c r="AH157" s="54"/>
    </row>
    <row r="158" spans="1:34" x14ac:dyDescent="0.25">
      <c r="A158">
        <v>1</v>
      </c>
      <c r="B158">
        <v>2017</v>
      </c>
      <c r="C158">
        <v>20</v>
      </c>
      <c r="D158" t="s">
        <v>44</v>
      </c>
      <c r="E158" t="s">
        <v>292</v>
      </c>
      <c r="F158">
        <v>25.99</v>
      </c>
      <c r="G158" t="s">
        <v>217</v>
      </c>
      <c r="H158">
        <v>2</v>
      </c>
      <c r="I158">
        <v>5</v>
      </c>
      <c r="J158">
        <v>20.455099999999998</v>
      </c>
      <c r="K158">
        <v>2017</v>
      </c>
      <c r="L158">
        <v>10</v>
      </c>
      <c r="M158" s="54">
        <f>AG158+AH158</f>
        <v>1672.7391304</v>
      </c>
      <c r="N158">
        <v>1</v>
      </c>
      <c r="O158">
        <v>1</v>
      </c>
      <c r="P158">
        <v>1</v>
      </c>
      <c r="Q158">
        <v>4</v>
      </c>
      <c r="R158">
        <v>5</v>
      </c>
      <c r="S158">
        <v>1</v>
      </c>
      <c r="T158" t="s">
        <v>218</v>
      </c>
      <c r="U158">
        <v>8</v>
      </c>
      <c r="V158">
        <v>86.805731257015651</v>
      </c>
      <c r="X158">
        <v>86.805731257015651</v>
      </c>
      <c r="Y158">
        <v>8</v>
      </c>
      <c r="Z158">
        <v>12.19</v>
      </c>
      <c r="AB158">
        <v>0.21531421460765474</v>
      </c>
      <c r="AC158" s="54">
        <f t="shared" si="4"/>
        <v>5.5960164376529464</v>
      </c>
      <c r="AD158">
        <v>10.223152809188456</v>
      </c>
      <c r="AE158" s="54">
        <f t="shared" si="5"/>
        <v>1.0223152809188456</v>
      </c>
      <c r="AG158">
        <v>826</v>
      </c>
      <c r="AH158" s="54">
        <v>846.73913040000002</v>
      </c>
    </row>
    <row r="159" spans="1:34" x14ac:dyDescent="0.25">
      <c r="A159">
        <v>1</v>
      </c>
      <c r="M159" s="54"/>
      <c r="AB159" t="s">
        <v>101</v>
      </c>
      <c r="AC159" s="54" t="e">
        <f t="shared" si="4"/>
        <v>#VALUE!</v>
      </c>
      <c r="AE159" s="54">
        <f t="shared" si="5"/>
        <v>0</v>
      </c>
      <c r="AH159" s="54"/>
    </row>
    <row r="160" spans="1:34" x14ac:dyDescent="0.25">
      <c r="A160">
        <v>1</v>
      </c>
      <c r="B160">
        <v>2017</v>
      </c>
      <c r="C160">
        <v>20</v>
      </c>
      <c r="D160" t="s">
        <v>44</v>
      </c>
      <c r="E160" t="s">
        <v>74</v>
      </c>
      <c r="F160">
        <v>25.99</v>
      </c>
      <c r="G160" t="s">
        <v>217</v>
      </c>
      <c r="H160">
        <v>2</v>
      </c>
      <c r="I160">
        <v>5</v>
      </c>
      <c r="J160">
        <v>20.455099999999998</v>
      </c>
      <c r="K160">
        <v>2017</v>
      </c>
      <c r="L160">
        <v>10</v>
      </c>
      <c r="M160" s="54">
        <f>AG160+AH160</f>
        <v>1672.7391304</v>
      </c>
      <c r="N160">
        <v>1</v>
      </c>
      <c r="O160">
        <v>2</v>
      </c>
      <c r="P160">
        <v>1</v>
      </c>
      <c r="Q160">
        <v>4</v>
      </c>
      <c r="R160">
        <v>4</v>
      </c>
      <c r="S160">
        <v>2</v>
      </c>
      <c r="T160" t="s">
        <v>218</v>
      </c>
      <c r="U160">
        <v>5</v>
      </c>
      <c r="V160">
        <v>69.444585005612524</v>
      </c>
      <c r="Y160">
        <v>5</v>
      </c>
      <c r="Z160">
        <v>12.19</v>
      </c>
      <c r="AB160">
        <v>0.21531421460765474</v>
      </c>
      <c r="AC160" s="54">
        <f t="shared" si="4"/>
        <v>5.5960164376529464</v>
      </c>
      <c r="AD160">
        <v>5.5922779454517126</v>
      </c>
      <c r="AE160" s="54">
        <f t="shared" si="5"/>
        <v>0.55922779454517124</v>
      </c>
      <c r="AG160">
        <v>826</v>
      </c>
      <c r="AH160" s="54">
        <v>846.73913040000002</v>
      </c>
    </row>
    <row r="161" spans="1:34" x14ac:dyDescent="0.25">
      <c r="A161">
        <v>1</v>
      </c>
      <c r="M161" s="54"/>
      <c r="AB161" t="s">
        <v>101</v>
      </c>
      <c r="AC161" s="54" t="e">
        <f t="shared" si="4"/>
        <v>#VALUE!</v>
      </c>
      <c r="AE161" s="54">
        <f t="shared" si="5"/>
        <v>0</v>
      </c>
      <c r="AH161" s="54"/>
    </row>
    <row r="162" spans="1:34" x14ac:dyDescent="0.25">
      <c r="A162">
        <v>1</v>
      </c>
      <c r="B162">
        <v>2017</v>
      </c>
      <c r="C162">
        <v>20</v>
      </c>
      <c r="D162" t="s">
        <v>44</v>
      </c>
      <c r="E162" t="s">
        <v>77</v>
      </c>
      <c r="F162">
        <v>25.99</v>
      </c>
      <c r="G162" t="s">
        <v>217</v>
      </c>
      <c r="H162">
        <v>2</v>
      </c>
      <c r="I162">
        <v>5</v>
      </c>
      <c r="J162">
        <v>20.455099999999998</v>
      </c>
      <c r="K162">
        <v>2017</v>
      </c>
      <c r="L162">
        <v>10</v>
      </c>
      <c r="M162" s="54">
        <f>AG162+AH162</f>
        <v>1672.7391304</v>
      </c>
      <c r="N162">
        <v>3</v>
      </c>
      <c r="O162">
        <v>3</v>
      </c>
      <c r="P162">
        <v>1</v>
      </c>
      <c r="Q162">
        <v>4</v>
      </c>
      <c r="R162">
        <v>3</v>
      </c>
      <c r="S162">
        <v>2</v>
      </c>
      <c r="T162" t="s">
        <v>218</v>
      </c>
      <c r="U162">
        <v>2</v>
      </c>
      <c r="V162">
        <v>20</v>
      </c>
      <c r="Y162">
        <v>6</v>
      </c>
      <c r="Z162">
        <v>12.19</v>
      </c>
      <c r="AB162">
        <v>0.21531421460765474</v>
      </c>
      <c r="AC162" s="54">
        <f t="shared" si="4"/>
        <v>5.5960164376529464</v>
      </c>
      <c r="AD162">
        <v>5.2959196845596583</v>
      </c>
      <c r="AE162" s="54">
        <f t="shared" si="5"/>
        <v>0.52959196845596579</v>
      </c>
      <c r="AG162">
        <v>826</v>
      </c>
      <c r="AH162" s="54">
        <v>846.73913040000002</v>
      </c>
    </row>
    <row r="163" spans="1:34" x14ac:dyDescent="0.25">
      <c r="A163">
        <v>1</v>
      </c>
      <c r="M163" s="54"/>
      <c r="AB163" t="s">
        <v>101</v>
      </c>
      <c r="AC163" s="54" t="e">
        <f t="shared" si="4"/>
        <v>#VALUE!</v>
      </c>
      <c r="AE163" s="54">
        <f t="shared" si="5"/>
        <v>0</v>
      </c>
      <c r="AH163" s="54"/>
    </row>
    <row r="164" spans="1:34" x14ac:dyDescent="0.25">
      <c r="A164">
        <v>1</v>
      </c>
      <c r="B164">
        <v>2017</v>
      </c>
      <c r="C164">
        <v>54</v>
      </c>
      <c r="D164" t="s">
        <v>80</v>
      </c>
      <c r="E164" t="s">
        <v>292</v>
      </c>
      <c r="F164">
        <v>4.91</v>
      </c>
      <c r="G164" t="s">
        <v>98</v>
      </c>
      <c r="H164">
        <v>3</v>
      </c>
      <c r="I164">
        <v>10</v>
      </c>
      <c r="J164">
        <v>12.950399999999998</v>
      </c>
      <c r="K164">
        <v>2017</v>
      </c>
      <c r="L164">
        <v>10</v>
      </c>
      <c r="M164" s="54">
        <f>AG164+AH164</f>
        <v>2005.9565219999999</v>
      </c>
      <c r="N164">
        <v>1</v>
      </c>
      <c r="O164">
        <v>1</v>
      </c>
      <c r="P164">
        <v>1</v>
      </c>
      <c r="Q164">
        <v>3</v>
      </c>
      <c r="R164">
        <v>5</v>
      </c>
      <c r="S164">
        <v>1</v>
      </c>
      <c r="T164" t="s">
        <v>218</v>
      </c>
      <c r="U164">
        <v>8</v>
      </c>
      <c r="V164">
        <v>86.317856759746476</v>
      </c>
      <c r="X164">
        <v>86.317856759746476</v>
      </c>
      <c r="Y164">
        <v>8</v>
      </c>
      <c r="Z164">
        <v>2.2999999999999998</v>
      </c>
      <c r="AB164">
        <v>0.20737179093382727</v>
      </c>
      <c r="AC164" s="54">
        <f t="shared" si="4"/>
        <v>1.0181954934850919</v>
      </c>
      <c r="AD164">
        <v>6.6283731933223082</v>
      </c>
      <c r="AE164" s="54">
        <f t="shared" si="5"/>
        <v>0.66283731933223078</v>
      </c>
      <c r="AG164">
        <v>994</v>
      </c>
      <c r="AH164" s="54">
        <v>1011.9565219999999</v>
      </c>
    </row>
    <row r="165" spans="1:34" x14ac:dyDescent="0.25">
      <c r="A165">
        <v>1</v>
      </c>
      <c r="M165" s="54"/>
      <c r="AB165" t="s">
        <v>101</v>
      </c>
      <c r="AC165" s="54" t="e">
        <f t="shared" si="4"/>
        <v>#VALUE!</v>
      </c>
      <c r="AE165" s="54">
        <f t="shared" si="5"/>
        <v>0</v>
      </c>
      <c r="AH165" s="54"/>
    </row>
    <row r="166" spans="1:34" x14ac:dyDescent="0.25">
      <c r="A166">
        <v>1</v>
      </c>
      <c r="B166">
        <v>2017</v>
      </c>
      <c r="C166">
        <v>54</v>
      </c>
      <c r="D166" t="s">
        <v>80</v>
      </c>
      <c r="E166" t="s">
        <v>74</v>
      </c>
      <c r="F166">
        <v>4.91</v>
      </c>
      <c r="G166" t="s">
        <v>98</v>
      </c>
      <c r="H166">
        <v>3</v>
      </c>
      <c r="I166">
        <v>10</v>
      </c>
      <c r="J166">
        <v>12.950399999999998</v>
      </c>
      <c r="K166">
        <v>2017</v>
      </c>
      <c r="L166">
        <v>10</v>
      </c>
      <c r="M166" s="54">
        <f>AG166+AH166</f>
        <v>2005.9565219999999</v>
      </c>
      <c r="N166">
        <v>1</v>
      </c>
      <c r="O166">
        <v>2</v>
      </c>
      <c r="P166">
        <v>1</v>
      </c>
      <c r="Q166">
        <v>3</v>
      </c>
      <c r="R166">
        <v>4</v>
      </c>
      <c r="S166">
        <v>2</v>
      </c>
      <c r="T166" t="s">
        <v>218</v>
      </c>
      <c r="U166">
        <v>5</v>
      </c>
      <c r="V166">
        <v>69.054285407797181</v>
      </c>
      <c r="Y166">
        <v>5</v>
      </c>
      <c r="Z166">
        <v>2.2999999999999998</v>
      </c>
      <c r="AB166">
        <v>0.20737179093382727</v>
      </c>
      <c r="AC166" s="54">
        <f t="shared" si="4"/>
        <v>1.0181954934850919</v>
      </c>
      <c r="AD166">
        <v>2.2246733798839688</v>
      </c>
      <c r="AE166" s="54">
        <f t="shared" si="5"/>
        <v>0.22246733798839688</v>
      </c>
      <c r="AG166">
        <v>994</v>
      </c>
      <c r="AH166" s="54">
        <v>1011.9565219999999</v>
      </c>
    </row>
    <row r="167" spans="1:34" x14ac:dyDescent="0.25">
      <c r="A167">
        <v>1</v>
      </c>
      <c r="M167" s="54"/>
      <c r="AB167" t="s">
        <v>101</v>
      </c>
      <c r="AC167" s="54" t="e">
        <f t="shared" si="4"/>
        <v>#VALUE!</v>
      </c>
      <c r="AE167" s="54">
        <f t="shared" si="5"/>
        <v>0</v>
      </c>
      <c r="AH167" s="54"/>
    </row>
    <row r="168" spans="1:34" x14ac:dyDescent="0.25">
      <c r="A168">
        <v>1</v>
      </c>
      <c r="B168">
        <v>2017</v>
      </c>
      <c r="C168">
        <v>54</v>
      </c>
      <c r="D168" t="s">
        <v>80</v>
      </c>
      <c r="E168" t="s">
        <v>77</v>
      </c>
      <c r="F168">
        <v>4.91</v>
      </c>
      <c r="G168" t="s">
        <v>98</v>
      </c>
      <c r="H168">
        <v>3</v>
      </c>
      <c r="I168">
        <v>10</v>
      </c>
      <c r="J168">
        <v>12.950399999999998</v>
      </c>
      <c r="K168">
        <v>2017</v>
      </c>
      <c r="L168">
        <v>10</v>
      </c>
      <c r="M168" s="54">
        <f>AG168+AH168</f>
        <v>2005.9565219999999</v>
      </c>
      <c r="N168">
        <v>3</v>
      </c>
      <c r="O168">
        <v>3</v>
      </c>
      <c r="P168">
        <v>1</v>
      </c>
      <c r="Q168">
        <v>3</v>
      </c>
      <c r="R168">
        <v>3</v>
      </c>
      <c r="S168">
        <v>2</v>
      </c>
      <c r="T168" t="s">
        <v>218</v>
      </c>
      <c r="U168">
        <v>2</v>
      </c>
      <c r="V168">
        <v>20</v>
      </c>
      <c r="Y168">
        <v>6</v>
      </c>
      <c r="Z168">
        <v>2.2999999999999998</v>
      </c>
      <c r="AB168">
        <v>0.20737179093382727</v>
      </c>
      <c r="AC168" s="54">
        <f t="shared" si="4"/>
        <v>1.0181954934850919</v>
      </c>
      <c r="AD168">
        <v>1.8693047577268112</v>
      </c>
      <c r="AE168" s="54">
        <f t="shared" si="5"/>
        <v>0.18693047577268113</v>
      </c>
      <c r="AG168">
        <v>994</v>
      </c>
      <c r="AH168" s="54">
        <v>1011.9565219999999</v>
      </c>
    </row>
    <row r="169" spans="1:34" x14ac:dyDescent="0.25">
      <c r="A169">
        <v>1</v>
      </c>
      <c r="M169" s="54"/>
      <c r="AB169" t="s">
        <v>101</v>
      </c>
      <c r="AC169" s="54" t="e">
        <f t="shared" si="4"/>
        <v>#VALUE!</v>
      </c>
      <c r="AE169" s="54">
        <f t="shared" si="5"/>
        <v>0</v>
      </c>
      <c r="AH169" s="54"/>
    </row>
    <row r="170" spans="1:34" x14ac:dyDescent="0.25">
      <c r="A170">
        <v>1</v>
      </c>
      <c r="B170">
        <v>2017</v>
      </c>
      <c r="C170">
        <v>83</v>
      </c>
      <c r="D170" t="s">
        <v>81</v>
      </c>
      <c r="E170" t="s">
        <v>292</v>
      </c>
      <c r="F170">
        <v>26.22</v>
      </c>
      <c r="G170" t="s">
        <v>217</v>
      </c>
      <c r="H170">
        <v>2</v>
      </c>
      <c r="I170">
        <v>6</v>
      </c>
      <c r="J170">
        <v>25.907900000000001</v>
      </c>
      <c r="K170">
        <v>2017</v>
      </c>
      <c r="L170">
        <v>10</v>
      </c>
      <c r="M170" s="54">
        <f>AG170+AH170</f>
        <v>1858.3478261</v>
      </c>
      <c r="N170">
        <v>1</v>
      </c>
      <c r="O170">
        <v>1</v>
      </c>
      <c r="P170">
        <v>1</v>
      </c>
      <c r="Q170">
        <v>4</v>
      </c>
      <c r="R170">
        <v>5</v>
      </c>
      <c r="S170">
        <v>1</v>
      </c>
      <c r="T170" t="s">
        <v>218</v>
      </c>
      <c r="U170">
        <v>8</v>
      </c>
      <c r="V170">
        <v>89.17301225522472</v>
      </c>
      <c r="X170">
        <v>89.17301225522472</v>
      </c>
      <c r="Y170">
        <v>8</v>
      </c>
      <c r="Z170">
        <v>11.04</v>
      </c>
      <c r="AB170">
        <v>0.21067724129977045</v>
      </c>
      <c r="AC170" s="54">
        <f t="shared" si="4"/>
        <v>5.5239572668799806</v>
      </c>
      <c r="AD170">
        <v>10.128739407543016</v>
      </c>
      <c r="AE170" s="54">
        <f t="shared" si="5"/>
        <v>1.0128739407543015</v>
      </c>
      <c r="AG170">
        <v>929</v>
      </c>
      <c r="AH170" s="54">
        <v>929.34782610000002</v>
      </c>
    </row>
    <row r="171" spans="1:34" x14ac:dyDescent="0.25">
      <c r="A171">
        <v>1</v>
      </c>
      <c r="M171" s="54"/>
      <c r="AB171" t="s">
        <v>101</v>
      </c>
      <c r="AC171" s="54" t="e">
        <f t="shared" si="4"/>
        <v>#VALUE!</v>
      </c>
      <c r="AE171" s="54">
        <f t="shared" si="5"/>
        <v>0</v>
      </c>
      <c r="AH171" s="54"/>
    </row>
    <row r="172" spans="1:34" x14ac:dyDescent="0.25">
      <c r="A172">
        <v>1</v>
      </c>
      <c r="B172">
        <v>2017</v>
      </c>
      <c r="C172">
        <v>83</v>
      </c>
      <c r="D172" t="s">
        <v>81</v>
      </c>
      <c r="E172" t="s">
        <v>74</v>
      </c>
      <c r="F172">
        <v>26.22</v>
      </c>
      <c r="G172" t="s">
        <v>217</v>
      </c>
      <c r="H172">
        <v>2</v>
      </c>
      <c r="I172">
        <v>6</v>
      </c>
      <c r="J172">
        <v>25.907900000000001</v>
      </c>
      <c r="K172">
        <v>2017</v>
      </c>
      <c r="L172">
        <v>10</v>
      </c>
      <c r="M172" s="54">
        <f>AG172+AH172</f>
        <v>1858.3478261</v>
      </c>
      <c r="N172">
        <v>1</v>
      </c>
      <c r="O172">
        <v>2</v>
      </c>
      <c r="P172">
        <v>1</v>
      </c>
      <c r="Q172">
        <v>4</v>
      </c>
      <c r="R172">
        <v>4</v>
      </c>
      <c r="S172">
        <v>2</v>
      </c>
      <c r="T172" t="s">
        <v>218</v>
      </c>
      <c r="U172">
        <v>5</v>
      </c>
      <c r="V172">
        <v>71.338409804179776</v>
      </c>
      <c r="Y172">
        <v>5</v>
      </c>
      <c r="Z172">
        <v>11.04</v>
      </c>
      <c r="AB172">
        <v>0.21067724129977045</v>
      </c>
      <c r="AC172" s="54">
        <f t="shared" si="4"/>
        <v>5.5239572668799806</v>
      </c>
      <c r="AD172">
        <v>5.8161711627097814</v>
      </c>
      <c r="AE172" s="54">
        <f t="shared" si="5"/>
        <v>0.58161711627097812</v>
      </c>
      <c r="AG172">
        <v>929</v>
      </c>
      <c r="AH172" s="54">
        <v>929.34782610000002</v>
      </c>
    </row>
    <row r="173" spans="1:34" x14ac:dyDescent="0.25">
      <c r="A173">
        <v>1</v>
      </c>
      <c r="M173" s="54"/>
      <c r="AB173" t="s">
        <v>101</v>
      </c>
      <c r="AC173" s="54" t="e">
        <f t="shared" si="4"/>
        <v>#VALUE!</v>
      </c>
      <c r="AE173" s="54">
        <f t="shared" si="5"/>
        <v>0</v>
      </c>
      <c r="AH173" s="54"/>
    </row>
    <row r="174" spans="1:34" x14ac:dyDescent="0.25">
      <c r="A174">
        <v>1</v>
      </c>
      <c r="B174">
        <v>2017</v>
      </c>
      <c r="C174">
        <v>83</v>
      </c>
      <c r="D174" t="s">
        <v>81</v>
      </c>
      <c r="E174" t="s">
        <v>77</v>
      </c>
      <c r="F174">
        <v>26.22</v>
      </c>
      <c r="G174" t="s">
        <v>217</v>
      </c>
      <c r="H174">
        <v>2</v>
      </c>
      <c r="I174">
        <v>6</v>
      </c>
      <c r="J174">
        <v>25.907900000000001</v>
      </c>
      <c r="K174">
        <v>2017</v>
      </c>
      <c r="L174">
        <v>10</v>
      </c>
      <c r="M174" s="54">
        <f>AG174+AH174</f>
        <v>1858.3478261</v>
      </c>
      <c r="N174">
        <v>3</v>
      </c>
      <c r="O174">
        <v>3</v>
      </c>
      <c r="P174">
        <v>1</v>
      </c>
      <c r="Q174">
        <v>4</v>
      </c>
      <c r="R174">
        <v>3</v>
      </c>
      <c r="S174">
        <v>2</v>
      </c>
      <c r="T174" t="s">
        <v>218</v>
      </c>
      <c r="U174">
        <v>2</v>
      </c>
      <c r="V174">
        <v>20</v>
      </c>
      <c r="Y174">
        <v>6</v>
      </c>
      <c r="Z174">
        <v>11.04</v>
      </c>
      <c r="AB174">
        <v>0.21067724129977045</v>
      </c>
      <c r="AC174" s="54">
        <f t="shared" si="4"/>
        <v>5.5239572668799806</v>
      </c>
      <c r="AD174">
        <v>5.5524149176478064</v>
      </c>
      <c r="AE174" s="54">
        <f t="shared" si="5"/>
        <v>0.55524149176478066</v>
      </c>
      <c r="AG174">
        <v>929</v>
      </c>
      <c r="AH174" s="54">
        <v>929.34782610000002</v>
      </c>
    </row>
    <row r="175" spans="1:34" x14ac:dyDescent="0.25">
      <c r="A175">
        <v>1</v>
      </c>
      <c r="M175" s="54"/>
      <c r="AB175" t="s">
        <v>101</v>
      </c>
      <c r="AC175" s="54" t="e">
        <f t="shared" si="4"/>
        <v>#VALUE!</v>
      </c>
      <c r="AE175" s="54">
        <f t="shared" si="5"/>
        <v>0</v>
      </c>
      <c r="AH175" s="54"/>
    </row>
    <row r="176" spans="1:34" x14ac:dyDescent="0.25">
      <c r="A176">
        <v>1</v>
      </c>
      <c r="B176">
        <v>2017</v>
      </c>
      <c r="C176">
        <v>71</v>
      </c>
      <c r="D176" t="s">
        <v>82</v>
      </c>
      <c r="E176" t="s">
        <v>292</v>
      </c>
      <c r="F176">
        <v>18.64</v>
      </c>
      <c r="G176" t="s">
        <v>217</v>
      </c>
      <c r="H176">
        <v>2</v>
      </c>
      <c r="I176">
        <v>7</v>
      </c>
      <c r="J176">
        <v>22.151999999999997</v>
      </c>
      <c r="K176">
        <v>2017</v>
      </c>
      <c r="L176">
        <v>10</v>
      </c>
      <c r="M176" s="54">
        <f>AG176+AH176</f>
        <v>1837</v>
      </c>
      <c r="N176">
        <v>1</v>
      </c>
      <c r="O176">
        <v>1</v>
      </c>
      <c r="P176">
        <v>1</v>
      </c>
      <c r="Q176">
        <v>4</v>
      </c>
      <c r="R176">
        <v>5</v>
      </c>
      <c r="S176">
        <v>1</v>
      </c>
      <c r="T176" t="s">
        <v>218</v>
      </c>
      <c r="U176">
        <v>8</v>
      </c>
      <c r="V176">
        <v>91.179158066797982</v>
      </c>
      <c r="X176">
        <v>91.179158066797982</v>
      </c>
      <c r="Y176">
        <v>8</v>
      </c>
      <c r="Z176">
        <v>10.119999999999999</v>
      </c>
      <c r="AB176">
        <v>0.21118147338112911</v>
      </c>
      <c r="AC176" s="54">
        <f t="shared" si="4"/>
        <v>3.9364226638242465</v>
      </c>
      <c r="AD176">
        <v>8.7112013038559102</v>
      </c>
      <c r="AE176" s="54">
        <f t="shared" si="5"/>
        <v>0.871120130385591</v>
      </c>
      <c r="AG176">
        <v>887</v>
      </c>
      <c r="AH176" s="54">
        <v>950</v>
      </c>
    </row>
    <row r="177" spans="1:34" x14ac:dyDescent="0.25">
      <c r="A177">
        <v>1</v>
      </c>
      <c r="M177" s="54"/>
      <c r="AB177" t="s">
        <v>101</v>
      </c>
      <c r="AC177" s="54" t="e">
        <f t="shared" si="4"/>
        <v>#VALUE!</v>
      </c>
      <c r="AE177" s="54">
        <f t="shared" si="5"/>
        <v>0</v>
      </c>
    </row>
    <row r="178" spans="1:34" x14ac:dyDescent="0.25">
      <c r="A178">
        <v>1</v>
      </c>
      <c r="B178">
        <v>2017</v>
      </c>
      <c r="C178">
        <v>71</v>
      </c>
      <c r="D178" t="s">
        <v>82</v>
      </c>
      <c r="E178" t="s">
        <v>74</v>
      </c>
      <c r="F178">
        <v>18.64</v>
      </c>
      <c r="G178" t="s">
        <v>217</v>
      </c>
      <c r="H178">
        <v>2</v>
      </c>
      <c r="I178">
        <v>7</v>
      </c>
      <c r="J178">
        <v>22.151999999999997</v>
      </c>
      <c r="K178">
        <v>2017</v>
      </c>
      <c r="L178">
        <v>10</v>
      </c>
      <c r="M178" s="54">
        <f>AG178+AH178</f>
        <v>1837</v>
      </c>
      <c r="N178">
        <v>1</v>
      </c>
      <c r="O178">
        <v>2</v>
      </c>
      <c r="P178">
        <v>1</v>
      </c>
      <c r="Q178">
        <v>4</v>
      </c>
      <c r="R178">
        <v>4</v>
      </c>
      <c r="S178">
        <v>2</v>
      </c>
      <c r="T178" t="s">
        <v>218</v>
      </c>
      <c r="U178">
        <v>5</v>
      </c>
      <c r="V178">
        <v>72.943326453438388</v>
      </c>
      <c r="Y178">
        <v>5</v>
      </c>
      <c r="Z178">
        <v>10.119999999999999</v>
      </c>
      <c r="AB178">
        <v>0.21118147338112911</v>
      </c>
      <c r="AC178" s="54">
        <f t="shared" si="4"/>
        <v>3.9364226638242465</v>
      </c>
      <c r="AD178">
        <v>4.584931716620031</v>
      </c>
      <c r="AE178" s="54">
        <f t="shared" si="5"/>
        <v>0.4584931716620031</v>
      </c>
      <c r="AG178">
        <v>887</v>
      </c>
      <c r="AH178" s="54">
        <v>950</v>
      </c>
    </row>
    <row r="179" spans="1:34" x14ac:dyDescent="0.25">
      <c r="A179">
        <v>1</v>
      </c>
      <c r="M179" s="54"/>
      <c r="AB179" t="s">
        <v>101</v>
      </c>
      <c r="AC179" s="54" t="e">
        <f t="shared" si="4"/>
        <v>#VALUE!</v>
      </c>
      <c r="AE179" s="54">
        <f t="shared" si="5"/>
        <v>0</v>
      </c>
    </row>
    <row r="180" spans="1:34" x14ac:dyDescent="0.25">
      <c r="A180">
        <v>1</v>
      </c>
      <c r="B180">
        <v>2017</v>
      </c>
      <c r="C180">
        <v>71</v>
      </c>
      <c r="D180" t="s">
        <v>82</v>
      </c>
      <c r="E180" t="s">
        <v>77</v>
      </c>
      <c r="F180">
        <v>18.64</v>
      </c>
      <c r="G180" t="s">
        <v>217</v>
      </c>
      <c r="H180">
        <v>2</v>
      </c>
      <c r="I180">
        <v>7</v>
      </c>
      <c r="J180">
        <v>22.151999999999997</v>
      </c>
      <c r="K180">
        <v>2017</v>
      </c>
      <c r="L180">
        <v>10</v>
      </c>
      <c r="M180" s="54">
        <f>AG180+AH180</f>
        <v>1837</v>
      </c>
      <c r="N180">
        <v>3</v>
      </c>
      <c r="O180">
        <v>3</v>
      </c>
      <c r="P180">
        <v>1</v>
      </c>
      <c r="Q180">
        <v>4</v>
      </c>
      <c r="R180">
        <v>3</v>
      </c>
      <c r="S180">
        <v>2</v>
      </c>
      <c r="T180" t="s">
        <v>218</v>
      </c>
      <c r="U180">
        <v>2</v>
      </c>
      <c r="V180">
        <v>20</v>
      </c>
      <c r="Y180">
        <v>6</v>
      </c>
      <c r="Z180">
        <v>10.119999999999999</v>
      </c>
      <c r="AB180">
        <v>0.21118147338112911</v>
      </c>
      <c r="AC180" s="54">
        <f t="shared" si="4"/>
        <v>3.9364226638242465</v>
      </c>
      <c r="AD180">
        <v>4.3627652477701471</v>
      </c>
      <c r="AE180" s="54">
        <f t="shared" si="5"/>
        <v>0.43627652477701473</v>
      </c>
      <c r="AG180">
        <v>887</v>
      </c>
      <c r="AH180" s="54">
        <v>950</v>
      </c>
    </row>
    <row r="181" spans="1:34" x14ac:dyDescent="0.25">
      <c r="A181">
        <v>1</v>
      </c>
    </row>
  </sheetData>
  <sheetProtection password="C2EC" sheet="1" objects="1" scenarios="1" selectLockedCells="1" selectUnlockedCells="1"/>
  <sortState ref="A1:Z579">
    <sortCondition ref="A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tint="-0.89999084444715716"/>
  </sheetPr>
  <dimension ref="A1:D32"/>
  <sheetViews>
    <sheetView workbookViewId="0">
      <selection activeCell="Z41" sqref="Z41"/>
    </sheetView>
  </sheetViews>
  <sheetFormatPr defaultRowHeight="15" x14ac:dyDescent="0.25"/>
  <cols>
    <col min="1" max="1" width="32.85546875" bestFit="1" customWidth="1"/>
    <col min="2" max="2" width="11.85546875" bestFit="1" customWidth="1"/>
    <col min="3" max="3" width="14" bestFit="1" customWidth="1"/>
    <col min="4" max="4" width="10.42578125" bestFit="1" customWidth="1"/>
  </cols>
  <sheetData>
    <row r="1" spans="1:4" x14ac:dyDescent="0.25">
      <c r="B1" s="186" t="s">
        <v>122</v>
      </c>
      <c r="C1" s="186"/>
      <c r="D1" s="186"/>
    </row>
    <row r="2" spans="1:4" x14ac:dyDescent="0.25">
      <c r="A2" t="s">
        <v>48</v>
      </c>
      <c r="B2" t="s">
        <v>289</v>
      </c>
      <c r="C2" t="s">
        <v>111</v>
      </c>
      <c r="D2" t="s">
        <v>112</v>
      </c>
    </row>
    <row r="3" spans="1:4" x14ac:dyDescent="0.25">
      <c r="A3" t="s">
        <v>87</v>
      </c>
      <c r="B3" s="9">
        <v>8.43</v>
      </c>
      <c r="C3" s="9">
        <v>4.51</v>
      </c>
      <c r="D3" s="9">
        <v>4.3899999999999997</v>
      </c>
    </row>
    <row r="4" spans="1:4" x14ac:dyDescent="0.25">
      <c r="A4" t="s">
        <v>19</v>
      </c>
      <c r="B4" s="9">
        <v>8.98</v>
      </c>
      <c r="C4" s="9">
        <v>6.31</v>
      </c>
      <c r="D4" s="9">
        <v>6.57</v>
      </c>
    </row>
    <row r="5" spans="1:4" x14ac:dyDescent="0.25">
      <c r="A5" t="s">
        <v>20</v>
      </c>
      <c r="B5" s="9">
        <v>71.41</v>
      </c>
      <c r="C5" s="9">
        <v>51.07</v>
      </c>
      <c r="D5" s="9">
        <v>50.54</v>
      </c>
    </row>
    <row r="6" spans="1:4" x14ac:dyDescent="0.25">
      <c r="A6" t="s">
        <v>21</v>
      </c>
      <c r="B6" s="9">
        <v>9.86</v>
      </c>
      <c r="C6" s="9">
        <v>5.84</v>
      </c>
      <c r="D6" s="9">
        <v>5.77</v>
      </c>
    </row>
    <row r="7" spans="1:4" x14ac:dyDescent="0.25">
      <c r="A7" t="s">
        <v>22</v>
      </c>
      <c r="B7" s="9">
        <v>10.01</v>
      </c>
      <c r="C7" s="9">
        <v>6.16</v>
      </c>
      <c r="D7" s="9">
        <v>6</v>
      </c>
    </row>
    <row r="8" spans="1:4" x14ac:dyDescent="0.25">
      <c r="A8" t="s">
        <v>23</v>
      </c>
      <c r="B8" s="9">
        <v>11.07</v>
      </c>
      <c r="C8" s="9">
        <v>5.43</v>
      </c>
      <c r="D8" s="9">
        <v>4.83</v>
      </c>
    </row>
    <row r="9" spans="1:4" x14ac:dyDescent="0.25">
      <c r="A9" t="s">
        <v>88</v>
      </c>
      <c r="B9" s="9">
        <v>6.94</v>
      </c>
      <c r="C9" s="9">
        <v>3.96</v>
      </c>
      <c r="D9" s="9">
        <v>3.85</v>
      </c>
    </row>
    <row r="10" spans="1:4" x14ac:dyDescent="0.25">
      <c r="A10" t="s">
        <v>89</v>
      </c>
      <c r="B10" s="9">
        <v>8.9700000000000006</v>
      </c>
      <c r="C10" s="9">
        <v>5.14</v>
      </c>
      <c r="D10" s="9">
        <v>5.03</v>
      </c>
    </row>
    <row r="11" spans="1:4" x14ac:dyDescent="0.25">
      <c r="A11" t="s">
        <v>26</v>
      </c>
      <c r="B11" s="9">
        <v>8.4499999999999993</v>
      </c>
      <c r="C11" s="9">
        <v>4.72</v>
      </c>
      <c r="D11" s="9">
        <v>4.7699999999999996</v>
      </c>
    </row>
    <row r="12" spans="1:4" x14ac:dyDescent="0.25">
      <c r="A12" t="s">
        <v>27</v>
      </c>
      <c r="B12" s="9">
        <v>9.17</v>
      </c>
      <c r="C12" s="9">
        <v>5.49</v>
      </c>
      <c r="D12" s="9">
        <v>5.38</v>
      </c>
    </row>
    <row r="13" spans="1:4" x14ac:dyDescent="0.25">
      <c r="A13" t="s">
        <v>28</v>
      </c>
      <c r="B13" s="9">
        <v>3.82</v>
      </c>
      <c r="C13" s="9">
        <v>1.7</v>
      </c>
      <c r="D13" s="9">
        <v>1.85</v>
      </c>
    </row>
    <row r="14" spans="1:4" x14ac:dyDescent="0.25">
      <c r="A14" t="s">
        <v>29</v>
      </c>
      <c r="B14" s="9">
        <v>9.83</v>
      </c>
      <c r="C14" s="9">
        <v>5.28</v>
      </c>
      <c r="D14" s="9">
        <v>4.96</v>
      </c>
    </row>
    <row r="15" spans="1:4" x14ac:dyDescent="0.25">
      <c r="A15" t="s">
        <v>30</v>
      </c>
      <c r="B15" s="9">
        <v>6.16</v>
      </c>
      <c r="C15" s="9">
        <v>2.97</v>
      </c>
      <c r="D15" s="9">
        <v>3.04</v>
      </c>
    </row>
    <row r="16" spans="1:4" x14ac:dyDescent="0.25">
      <c r="A16" t="s">
        <v>90</v>
      </c>
      <c r="B16" s="9">
        <v>6.23</v>
      </c>
      <c r="C16" s="9">
        <v>4.37</v>
      </c>
      <c r="D16" s="9">
        <v>4.5</v>
      </c>
    </row>
    <row r="17" spans="1:4" x14ac:dyDescent="0.25">
      <c r="A17" t="s">
        <v>91</v>
      </c>
      <c r="B17" s="9">
        <v>7.51</v>
      </c>
      <c r="C17" s="9">
        <v>3.32</v>
      </c>
      <c r="D17" s="9">
        <v>3.09</v>
      </c>
    </row>
    <row r="18" spans="1:4" x14ac:dyDescent="0.25">
      <c r="A18" t="s">
        <v>33</v>
      </c>
      <c r="B18" s="9">
        <v>18.41</v>
      </c>
      <c r="C18" s="9">
        <v>11.52</v>
      </c>
      <c r="D18" s="9">
        <v>11.18</v>
      </c>
    </row>
    <row r="19" spans="1:4" x14ac:dyDescent="0.25">
      <c r="A19" t="s">
        <v>34</v>
      </c>
      <c r="B19" s="9">
        <v>25.18</v>
      </c>
      <c r="C19" s="9">
        <v>17</v>
      </c>
      <c r="D19" s="9">
        <v>16.899999999999999</v>
      </c>
    </row>
    <row r="20" spans="1:4" x14ac:dyDescent="0.25">
      <c r="A20" t="s">
        <v>92</v>
      </c>
      <c r="B20" s="9">
        <v>3.95</v>
      </c>
      <c r="C20" s="9">
        <v>1.34</v>
      </c>
      <c r="D20" s="9">
        <v>1.26</v>
      </c>
    </row>
    <row r="21" spans="1:4" x14ac:dyDescent="0.25">
      <c r="A21" t="s">
        <v>36</v>
      </c>
      <c r="B21" s="9">
        <v>10.78</v>
      </c>
      <c r="C21" s="9">
        <v>6.59</v>
      </c>
      <c r="D21" s="9">
        <v>6.57</v>
      </c>
    </row>
    <row r="22" spans="1:4" x14ac:dyDescent="0.25">
      <c r="A22" t="s">
        <v>37</v>
      </c>
      <c r="B22" s="9">
        <v>8</v>
      </c>
      <c r="C22" s="9">
        <v>4.34</v>
      </c>
      <c r="D22" s="9">
        <v>4.0999999999999996</v>
      </c>
    </row>
    <row r="23" spans="1:4" x14ac:dyDescent="0.25">
      <c r="A23" t="s">
        <v>38</v>
      </c>
      <c r="B23" s="9">
        <v>21.56</v>
      </c>
      <c r="C23" s="9">
        <v>13.44</v>
      </c>
      <c r="D23" s="9">
        <v>12.69</v>
      </c>
    </row>
    <row r="24" spans="1:4" x14ac:dyDescent="0.25">
      <c r="A24" t="s">
        <v>39</v>
      </c>
      <c r="B24" s="9">
        <v>24.31</v>
      </c>
      <c r="C24" s="9">
        <v>16.59</v>
      </c>
      <c r="D24" s="9">
        <v>16.440000000000001</v>
      </c>
    </row>
    <row r="25" spans="1:4" x14ac:dyDescent="0.25">
      <c r="A25" t="s">
        <v>40</v>
      </c>
      <c r="B25" s="9">
        <v>34.85</v>
      </c>
      <c r="C25" s="9">
        <v>23.78</v>
      </c>
      <c r="D25" s="9">
        <v>23.29</v>
      </c>
    </row>
    <row r="26" spans="1:4" x14ac:dyDescent="0.25">
      <c r="A26" t="s">
        <v>41</v>
      </c>
      <c r="B26" s="9">
        <v>10.32</v>
      </c>
      <c r="C26" s="9">
        <v>5.78</v>
      </c>
      <c r="D26" s="9">
        <v>5.59</v>
      </c>
    </row>
    <row r="27" spans="1:4" x14ac:dyDescent="0.25">
      <c r="A27" t="s">
        <v>42</v>
      </c>
      <c r="B27" s="9">
        <v>5.78</v>
      </c>
      <c r="C27" s="9">
        <v>3.12</v>
      </c>
      <c r="D27" s="9">
        <v>3</v>
      </c>
    </row>
    <row r="28" spans="1:4" x14ac:dyDescent="0.25">
      <c r="A28" t="s">
        <v>93</v>
      </c>
      <c r="B28" s="9">
        <v>7.37</v>
      </c>
      <c r="C28" s="9">
        <v>2.36</v>
      </c>
      <c r="D28" s="9">
        <v>1.95</v>
      </c>
    </row>
    <row r="29" spans="1:4" x14ac:dyDescent="0.25">
      <c r="A29" t="s">
        <v>44</v>
      </c>
      <c r="B29" s="9">
        <v>11.19</v>
      </c>
      <c r="C29" s="9">
        <v>6.32</v>
      </c>
      <c r="D29" s="9">
        <v>6.02</v>
      </c>
    </row>
    <row r="30" spans="1:4" x14ac:dyDescent="0.25">
      <c r="A30" t="s">
        <v>80</v>
      </c>
      <c r="B30" s="9">
        <v>6.85</v>
      </c>
      <c r="C30" s="9">
        <v>2.39</v>
      </c>
      <c r="D30" s="9">
        <v>2.04</v>
      </c>
    </row>
    <row r="31" spans="1:4" x14ac:dyDescent="0.25">
      <c r="A31" t="s">
        <v>81</v>
      </c>
      <c r="B31" s="9">
        <v>11.15</v>
      </c>
      <c r="C31" s="9">
        <v>6.58</v>
      </c>
      <c r="D31" s="9">
        <v>6.32</v>
      </c>
    </row>
    <row r="32" spans="1:4" x14ac:dyDescent="0.25">
      <c r="A32" t="s">
        <v>82</v>
      </c>
      <c r="B32" s="9">
        <v>9.51</v>
      </c>
      <c r="C32" s="9">
        <v>5.18</v>
      </c>
      <c r="D32" s="9">
        <v>4.96</v>
      </c>
    </row>
  </sheetData>
  <sheetProtection password="C2EC" sheet="1" objects="1" scenarios="1" selectLockedCells="1" selectUnlockedCells="1"/>
  <mergeCells count="1">
    <mergeCell ref="B1:D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2" tint="-0.89999084444715716"/>
  </sheetPr>
  <dimension ref="A1:F32"/>
  <sheetViews>
    <sheetView workbookViewId="0">
      <selection activeCell="Z41" sqref="Z41"/>
    </sheetView>
  </sheetViews>
  <sheetFormatPr defaultColWidth="29.42578125" defaultRowHeight="15" x14ac:dyDescent="0.25"/>
  <cols>
    <col min="1" max="16384" width="29.42578125" style="19"/>
  </cols>
  <sheetData>
    <row r="1" spans="1:6" x14ac:dyDescent="0.25">
      <c r="A1" s="17" t="s">
        <v>57</v>
      </c>
      <c r="B1" s="18" t="s">
        <v>117</v>
      </c>
      <c r="C1" s="18" t="s">
        <v>118</v>
      </c>
      <c r="D1" s="19" t="s">
        <v>58</v>
      </c>
      <c r="E1" s="19" t="s">
        <v>119</v>
      </c>
      <c r="F1" s="19" t="s">
        <v>120</v>
      </c>
    </row>
    <row r="2" spans="1:6" x14ac:dyDescent="0.25">
      <c r="A2" s="17" t="s">
        <v>18</v>
      </c>
      <c r="B2" s="18">
        <v>0.109701611102</v>
      </c>
      <c r="C2" s="18">
        <v>6.6313929855799994E-2</v>
      </c>
      <c r="D2" s="19">
        <v>9.8284324819200963E-2</v>
      </c>
      <c r="E2" s="19">
        <f>B2/D2</f>
        <v>1.1161658922091768</v>
      </c>
      <c r="F2" s="19">
        <f>C2/D2</f>
        <v>0.67471522013085872</v>
      </c>
    </row>
    <row r="3" spans="1:6" x14ac:dyDescent="0.25">
      <c r="A3" s="17" t="s">
        <v>19</v>
      </c>
      <c r="B3" s="18">
        <v>0.12568150460700001</v>
      </c>
      <c r="C3" s="18">
        <v>7.1627587079999999E-2</v>
      </c>
      <c r="D3" s="19">
        <v>0.11269956924464498</v>
      </c>
      <c r="E3" s="19">
        <f t="shared" ref="E3:E30" si="0">B3/D3</f>
        <v>1.1151906386986645</v>
      </c>
      <c r="F3" s="19">
        <f t="shared" ref="F3:F31" si="1">C3/D3</f>
        <v>0.63556220809072383</v>
      </c>
    </row>
    <row r="4" spans="1:6" x14ac:dyDescent="0.25">
      <c r="A4" s="17" t="s">
        <v>20</v>
      </c>
      <c r="B4" s="18">
        <v>0.14541593193999999</v>
      </c>
      <c r="C4" s="18">
        <v>9.5482781529399999E-2</v>
      </c>
      <c r="D4" s="19">
        <v>0.11900128127726343</v>
      </c>
      <c r="E4" s="19">
        <f t="shared" si="0"/>
        <v>1.2219694643555352</v>
      </c>
      <c r="F4" s="19">
        <f t="shared" si="1"/>
        <v>0.80236767625159244</v>
      </c>
    </row>
    <row r="5" spans="1:6" x14ac:dyDescent="0.25">
      <c r="A5" s="17" t="s">
        <v>21</v>
      </c>
      <c r="B5" s="18">
        <v>0.122204370797</v>
      </c>
      <c r="C5" s="18">
        <v>7.9541228711600007E-2</v>
      </c>
      <c r="D5" s="19">
        <v>0.11496840077573459</v>
      </c>
      <c r="E5" s="19">
        <f t="shared" si="0"/>
        <v>1.0629387725013275</v>
      </c>
      <c r="F5" s="19">
        <f t="shared" si="1"/>
        <v>0.69185296285680009</v>
      </c>
    </row>
    <row r="6" spans="1:6" x14ac:dyDescent="0.25">
      <c r="A6" s="17" t="s">
        <v>22</v>
      </c>
      <c r="B6" s="18">
        <v>0.20104534924</v>
      </c>
      <c r="C6" s="18">
        <v>0.109461501241</v>
      </c>
      <c r="D6" s="19">
        <v>0.1506498144347278</v>
      </c>
      <c r="E6" s="19">
        <f t="shared" si="0"/>
        <v>1.3345210546350001</v>
      </c>
      <c r="F6" s="19">
        <f t="shared" si="1"/>
        <v>0.72659565928922198</v>
      </c>
    </row>
    <row r="7" spans="1:6" x14ac:dyDescent="0.25">
      <c r="A7" s="17" t="s">
        <v>23</v>
      </c>
      <c r="B7" s="18">
        <v>8.6204923689399998E-2</v>
      </c>
      <c r="C7" s="18">
        <v>5.3275633603300003E-2</v>
      </c>
      <c r="D7" s="19">
        <v>8.1176077676095207E-2</v>
      </c>
      <c r="E7" s="19">
        <f t="shared" si="0"/>
        <v>1.0619498521888511</v>
      </c>
      <c r="F7" s="19">
        <f t="shared" si="1"/>
        <v>0.65629721376632433</v>
      </c>
    </row>
    <row r="8" spans="1:6" x14ac:dyDescent="0.25">
      <c r="A8" s="17" t="s">
        <v>24</v>
      </c>
      <c r="B8" s="18">
        <v>0.20777809619900001</v>
      </c>
      <c r="C8" s="18">
        <v>0.112449906766</v>
      </c>
      <c r="D8" s="19">
        <v>0.16064032824919877</v>
      </c>
      <c r="E8" s="19">
        <f t="shared" si="0"/>
        <v>1.2934367008804737</v>
      </c>
      <c r="F8" s="19">
        <f t="shared" si="1"/>
        <v>0.70001043941816565</v>
      </c>
    </row>
    <row r="9" spans="1:6" x14ac:dyDescent="0.25">
      <c r="A9" s="17" t="s">
        <v>25</v>
      </c>
      <c r="B9" s="18">
        <v>0.21170499920800001</v>
      </c>
      <c r="C9" s="18">
        <v>0.121529579163</v>
      </c>
      <c r="D9" s="19">
        <v>0.18029062434236398</v>
      </c>
      <c r="E9" s="19">
        <f t="shared" si="0"/>
        <v>1.1742429756412709</v>
      </c>
      <c r="F9" s="19">
        <f t="shared" si="1"/>
        <v>0.67407597930450702</v>
      </c>
    </row>
    <row r="10" spans="1:6" x14ac:dyDescent="0.25">
      <c r="A10" s="17" t="s">
        <v>26</v>
      </c>
      <c r="B10" s="18">
        <v>0.150594681501</v>
      </c>
      <c r="C10" s="18">
        <v>0.119658567011</v>
      </c>
      <c r="D10" s="19">
        <v>0.14415967175862368</v>
      </c>
      <c r="E10" s="19">
        <f t="shared" si="0"/>
        <v>1.0446380715485457</v>
      </c>
      <c r="F10" s="19">
        <f t="shared" si="1"/>
        <v>0.83004189418072805</v>
      </c>
    </row>
    <row r="11" spans="1:6" x14ac:dyDescent="0.25">
      <c r="A11" s="17" t="s">
        <v>27</v>
      </c>
      <c r="B11" s="18">
        <v>0.20268429815799999</v>
      </c>
      <c r="C11" s="18">
        <v>0.108855977654</v>
      </c>
      <c r="D11" s="19">
        <v>0.14685008598327975</v>
      </c>
      <c r="E11" s="19">
        <f t="shared" si="0"/>
        <v>1.380212321980373</v>
      </c>
      <c r="F11" s="19">
        <f t="shared" si="1"/>
        <v>0.74127282204243494</v>
      </c>
    </row>
    <row r="12" spans="1:6" x14ac:dyDescent="0.25">
      <c r="A12" s="17" t="s">
        <v>28</v>
      </c>
      <c r="B12" s="18">
        <v>0.124370992184</v>
      </c>
      <c r="C12" s="18">
        <v>0.120658747852</v>
      </c>
      <c r="D12" s="19">
        <v>0.12388909471908724</v>
      </c>
      <c r="E12" s="19">
        <f t="shared" si="0"/>
        <v>1.0038897488596994</v>
      </c>
      <c r="F12" s="19">
        <f t="shared" si="1"/>
        <v>0.97392549461748912</v>
      </c>
    </row>
    <row r="13" spans="1:6" x14ac:dyDescent="0.25">
      <c r="A13" s="17" t="s">
        <v>29</v>
      </c>
      <c r="B13" s="18">
        <v>0.20242068171499999</v>
      </c>
      <c r="C13" s="18">
        <v>0.108616761863</v>
      </c>
      <c r="D13" s="19">
        <v>0.16174574693147703</v>
      </c>
      <c r="E13" s="19">
        <f t="shared" si="0"/>
        <v>1.2514745244012799</v>
      </c>
      <c r="F13" s="19">
        <f t="shared" si="1"/>
        <v>0.67152777691901278</v>
      </c>
    </row>
    <row r="14" spans="1:6" x14ac:dyDescent="0.25">
      <c r="A14" s="17" t="s">
        <v>30</v>
      </c>
      <c r="B14" s="18">
        <v>0.12509131431600001</v>
      </c>
      <c r="C14" s="18">
        <v>0.11590237170500001</v>
      </c>
      <c r="D14" s="19">
        <v>0.12386814471050991</v>
      </c>
      <c r="E14" s="19">
        <f t="shared" si="0"/>
        <v>1.0098747713413223</v>
      </c>
      <c r="F14" s="19">
        <f t="shared" si="1"/>
        <v>0.93569151274424445</v>
      </c>
    </row>
    <row r="15" spans="1:6" x14ac:dyDescent="0.25">
      <c r="A15" s="17" t="s">
        <v>31</v>
      </c>
      <c r="B15" s="18">
        <v>0.21427552402</v>
      </c>
      <c r="C15" s="18">
        <v>0.114003747702</v>
      </c>
      <c r="D15" s="19">
        <v>0.16143304995598312</v>
      </c>
      <c r="E15" s="19">
        <f t="shared" si="0"/>
        <v>1.3273336784408465</v>
      </c>
      <c r="F15" s="19">
        <f t="shared" si="1"/>
        <v>0.70619831399508748</v>
      </c>
    </row>
    <row r="16" spans="1:6" x14ac:dyDescent="0.25">
      <c r="A16" s="17" t="s">
        <v>32</v>
      </c>
      <c r="B16" s="18">
        <v>0.17770977318299999</v>
      </c>
      <c r="C16" s="18">
        <v>0.142923742533</v>
      </c>
      <c r="D16" s="19">
        <v>0.168021560216013</v>
      </c>
      <c r="E16" s="19">
        <f t="shared" si="0"/>
        <v>1.057660534484572</v>
      </c>
      <c r="F16" s="19">
        <f t="shared" si="1"/>
        <v>0.85062739775332064</v>
      </c>
    </row>
    <row r="17" spans="1:6" x14ac:dyDescent="0.25">
      <c r="A17" s="17" t="s">
        <v>33</v>
      </c>
      <c r="B17" s="18">
        <v>0.15598645806299999</v>
      </c>
      <c r="C17" s="18">
        <v>9.8482996225399994E-2</v>
      </c>
      <c r="D17" s="19">
        <v>0.12776792547365493</v>
      </c>
      <c r="E17" s="19">
        <f t="shared" si="0"/>
        <v>1.220857719061609</v>
      </c>
      <c r="F17" s="19">
        <f t="shared" si="1"/>
        <v>0.77079592440989164</v>
      </c>
    </row>
    <row r="18" spans="1:6" x14ac:dyDescent="0.25">
      <c r="A18" s="17" t="s">
        <v>34</v>
      </c>
      <c r="B18" s="18">
        <v>0.193653643131</v>
      </c>
      <c r="C18" s="18">
        <v>0.105143792927</v>
      </c>
      <c r="D18" s="19">
        <v>0.16513278338138215</v>
      </c>
      <c r="E18" s="19">
        <f t="shared" si="0"/>
        <v>1.1727147036802956</v>
      </c>
      <c r="F18" s="19">
        <f t="shared" si="1"/>
        <v>0.63672270747211546</v>
      </c>
    </row>
    <row r="19" spans="1:6" x14ac:dyDescent="0.25">
      <c r="A19" s="17" t="s">
        <v>35</v>
      </c>
      <c r="B19" s="18">
        <v>2.05200612545E-2</v>
      </c>
      <c r="C19" s="18">
        <v>1.84759907424E-2</v>
      </c>
      <c r="D19" s="19">
        <v>2.0260775643324545E-2</v>
      </c>
      <c r="E19" s="19">
        <f t="shared" si="0"/>
        <v>1.0127974178155852</v>
      </c>
      <c r="F19" s="19">
        <f t="shared" si="1"/>
        <v>0.9119093497532218</v>
      </c>
    </row>
    <row r="20" spans="1:6" x14ac:dyDescent="0.25">
      <c r="A20" s="17" t="s">
        <v>36</v>
      </c>
      <c r="B20" s="18">
        <v>0.16058462858200001</v>
      </c>
      <c r="C20" s="18">
        <v>0.10136214643700001</v>
      </c>
      <c r="D20" s="19">
        <v>0.15039491520805517</v>
      </c>
      <c r="E20" s="19">
        <f t="shared" si="0"/>
        <v>1.0677530444420176</v>
      </c>
      <c r="F20" s="19">
        <f t="shared" si="1"/>
        <v>0.67397322773031509</v>
      </c>
    </row>
    <row r="21" spans="1:6" x14ac:dyDescent="0.25">
      <c r="A21" s="17" t="s">
        <v>37</v>
      </c>
      <c r="B21" s="18">
        <v>0.21641969680799999</v>
      </c>
      <c r="C21" s="18">
        <v>0.11525218933799999</v>
      </c>
      <c r="D21" s="19">
        <v>0.17928048669665814</v>
      </c>
      <c r="E21" s="19">
        <f t="shared" si="0"/>
        <v>1.2071570129892677</v>
      </c>
      <c r="F21" s="19">
        <f t="shared" si="1"/>
        <v>0.64285964112204941</v>
      </c>
    </row>
    <row r="22" spans="1:6" x14ac:dyDescent="0.25">
      <c r="A22" s="17" t="s">
        <v>38</v>
      </c>
      <c r="B22" s="18">
        <v>0.204222157598</v>
      </c>
      <c r="C22" s="18">
        <v>0.114959210157</v>
      </c>
      <c r="D22" s="19">
        <v>0.16799711337577766</v>
      </c>
      <c r="E22" s="19">
        <f t="shared" si="0"/>
        <v>1.2156289682263397</v>
      </c>
      <c r="F22" s="19">
        <f t="shared" si="1"/>
        <v>0.68429277055408722</v>
      </c>
    </row>
    <row r="23" spans="1:6" x14ac:dyDescent="0.25">
      <c r="A23" s="17" t="s">
        <v>39</v>
      </c>
      <c r="B23" s="18">
        <v>0.1409432441</v>
      </c>
      <c r="C23" s="18">
        <v>7.5692817568800003E-2</v>
      </c>
      <c r="D23" s="19">
        <v>0.11808570957772652</v>
      </c>
      <c r="E23" s="19">
        <f t="shared" si="0"/>
        <v>1.1935673216006564</v>
      </c>
      <c r="F23" s="19">
        <f t="shared" si="1"/>
        <v>0.64099896456122307</v>
      </c>
    </row>
    <row r="24" spans="1:6" x14ac:dyDescent="0.25">
      <c r="A24" s="17" t="s">
        <v>40</v>
      </c>
      <c r="B24" s="18">
        <v>0.15000009536700001</v>
      </c>
      <c r="C24" s="18">
        <v>9.69584584236E-2</v>
      </c>
      <c r="D24" s="19">
        <v>0.12262445032792736</v>
      </c>
      <c r="E24" s="19">
        <f t="shared" si="0"/>
        <v>1.2232478511900651</v>
      </c>
      <c r="F24" s="19">
        <f t="shared" si="1"/>
        <v>0.79069433676815426</v>
      </c>
    </row>
    <row r="25" spans="1:6" x14ac:dyDescent="0.25">
      <c r="A25" s="17" t="s">
        <v>41</v>
      </c>
      <c r="B25" s="18">
        <v>0.20577840507</v>
      </c>
      <c r="C25" s="18">
        <v>0.12532407045399999</v>
      </c>
      <c r="D25" s="19">
        <v>0.17768357555945685</v>
      </c>
      <c r="E25" s="19">
        <f t="shared" si="0"/>
        <v>1.1581172003213207</v>
      </c>
      <c r="F25" s="19">
        <f t="shared" si="1"/>
        <v>0.70532163740741349</v>
      </c>
    </row>
    <row r="26" spans="1:6" x14ac:dyDescent="0.25">
      <c r="A26" s="17" t="s">
        <v>42</v>
      </c>
      <c r="B26" s="18">
        <v>0.203097581863</v>
      </c>
      <c r="C26" s="18">
        <v>0.112801648676</v>
      </c>
      <c r="D26" s="19">
        <v>0.16277484198125614</v>
      </c>
      <c r="E26" s="19">
        <f t="shared" si="0"/>
        <v>1.2477209585396933</v>
      </c>
      <c r="F26" s="19">
        <f t="shared" si="1"/>
        <v>0.69299191019327999</v>
      </c>
    </row>
    <row r="27" spans="1:6" x14ac:dyDescent="0.25">
      <c r="A27" s="17" t="s">
        <v>43</v>
      </c>
      <c r="B27" s="18">
        <v>0.13133002817600001</v>
      </c>
      <c r="C27" s="18">
        <v>0.12625715136499999</v>
      </c>
      <c r="D27" s="19">
        <v>0.13070170232657907</v>
      </c>
      <c r="E27" s="19">
        <f t="shared" si="0"/>
        <v>1.0048073272056623</v>
      </c>
      <c r="F27" s="19">
        <f t="shared" si="1"/>
        <v>0.96599469721921705</v>
      </c>
    </row>
    <row r="28" spans="1:6" x14ac:dyDescent="0.25">
      <c r="A28" s="17" t="s">
        <v>44</v>
      </c>
      <c r="B28" s="18">
        <v>0.19130799174300001</v>
      </c>
      <c r="C28" s="18">
        <v>0.106912821531</v>
      </c>
      <c r="D28" s="19">
        <v>0.15298800214515546</v>
      </c>
      <c r="E28" s="19">
        <f t="shared" si="0"/>
        <v>1.2504770901020488</v>
      </c>
      <c r="F28" s="19">
        <f t="shared" si="1"/>
        <v>0.69883141182248265</v>
      </c>
    </row>
    <row r="29" spans="1:6" x14ac:dyDescent="0.25">
      <c r="A29" s="17" t="s">
        <v>45</v>
      </c>
      <c r="B29" s="18">
        <v>0.127042084932</v>
      </c>
      <c r="C29" s="18">
        <v>0.11913023144</v>
      </c>
      <c r="D29" s="19">
        <v>0.12574565963676104</v>
      </c>
      <c r="E29" s="19">
        <f t="shared" si="0"/>
        <v>1.0103099009459564</v>
      </c>
      <c r="F29" s="19">
        <f t="shared" si="1"/>
        <v>0.94739040523648377</v>
      </c>
    </row>
    <row r="30" spans="1:6" x14ac:dyDescent="0.25">
      <c r="A30" s="17" t="s">
        <v>46</v>
      </c>
      <c r="B30" s="18">
        <v>0.22020246088500001</v>
      </c>
      <c r="C30" s="18">
        <v>0.118715189397</v>
      </c>
      <c r="D30" s="19">
        <v>0.17576217909227787</v>
      </c>
      <c r="E30" s="19">
        <f t="shared" si="0"/>
        <v>1.2528432568498726</v>
      </c>
      <c r="F30" s="19">
        <f t="shared" si="1"/>
        <v>0.67543080092715901</v>
      </c>
    </row>
    <row r="31" spans="1:6" x14ac:dyDescent="0.25">
      <c r="A31" s="17" t="s">
        <v>47</v>
      </c>
      <c r="B31" s="18">
        <v>0.211635291576</v>
      </c>
      <c r="C31" s="18">
        <v>0.114030838013</v>
      </c>
      <c r="D31" s="19">
        <v>0.17796031533766749</v>
      </c>
      <c r="E31" s="19">
        <f>B31/D31</f>
        <v>1.189227447560073</v>
      </c>
      <c r="F31" s="19">
        <f t="shared" si="1"/>
        <v>0.6407655425684895</v>
      </c>
    </row>
    <row r="32" spans="1:6" x14ac:dyDescent="0.25">
      <c r="A32" s="17"/>
      <c r="B32" s="18"/>
      <c r="C32" s="18"/>
    </row>
  </sheetData>
  <sheetProtection password="C2EC" sheet="1" objects="1" scenarios="1" selectLockedCells="1" selectUnlockedCell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tint="-0.89999084444715716"/>
  </sheetPr>
  <dimension ref="A1:G7"/>
  <sheetViews>
    <sheetView workbookViewId="0">
      <selection activeCell="Z41" sqref="Z41"/>
    </sheetView>
  </sheetViews>
  <sheetFormatPr defaultRowHeight="15" x14ac:dyDescent="0.25"/>
  <cols>
    <col min="1" max="1" width="24.28515625" style="3" bestFit="1" customWidth="1"/>
    <col min="2" max="2" width="31.7109375" style="3" bestFit="1" customWidth="1"/>
    <col min="3" max="3" width="31.7109375" style="3" customWidth="1"/>
    <col min="4" max="5" width="25.85546875" style="3" bestFit="1" customWidth="1"/>
    <col min="6" max="6" width="13.5703125" style="3" bestFit="1" customWidth="1"/>
    <col min="7" max="7" width="18.140625" style="3" bestFit="1" customWidth="1"/>
    <col min="8" max="16384" width="9.140625" style="3"/>
  </cols>
  <sheetData>
    <row r="1" spans="1:7" x14ac:dyDescent="0.25">
      <c r="A1" s="3" t="s">
        <v>124</v>
      </c>
      <c r="B1" s="3" t="s">
        <v>183</v>
      </c>
      <c r="C1" s="3" t="s">
        <v>0</v>
      </c>
      <c r="D1" s="3" t="s">
        <v>1</v>
      </c>
      <c r="G1" s="3" t="s">
        <v>226</v>
      </c>
    </row>
    <row r="2" spans="1:7" x14ac:dyDescent="0.25">
      <c r="A2" s="3" t="s">
        <v>2</v>
      </c>
      <c r="B2" s="3" t="s">
        <v>3</v>
      </c>
      <c r="C2" s="3" t="s">
        <v>4</v>
      </c>
      <c r="D2" s="3" t="s">
        <v>5</v>
      </c>
      <c r="G2" s="3" t="s">
        <v>227</v>
      </c>
    </row>
    <row r="3" spans="1:7" x14ac:dyDescent="0.25">
      <c r="A3" s="3" t="s">
        <v>68</v>
      </c>
      <c r="B3" s="3" t="s">
        <v>192</v>
      </c>
      <c r="C3" s="3" t="s">
        <v>191</v>
      </c>
      <c r="D3" s="3" t="s">
        <v>69</v>
      </c>
      <c r="G3" s="3" t="s">
        <v>228</v>
      </c>
    </row>
    <row r="4" spans="1:7" x14ac:dyDescent="0.25">
      <c r="A4" s="3" t="s">
        <v>6</v>
      </c>
      <c r="B4" s="3" t="s">
        <v>7</v>
      </c>
      <c r="C4" s="3" t="s">
        <v>8</v>
      </c>
      <c r="D4" s="3" t="s">
        <v>9</v>
      </c>
    </row>
    <row r="5" spans="1:7" x14ac:dyDescent="0.25">
      <c r="A5" s="3" t="s">
        <v>10</v>
      </c>
      <c r="B5" s="3" t="s">
        <v>7</v>
      </c>
      <c r="C5" s="3" t="s">
        <v>8</v>
      </c>
      <c r="D5" s="3" t="s">
        <v>9</v>
      </c>
    </row>
    <row r="6" spans="1:7" x14ac:dyDescent="0.25">
      <c r="A6" s="3" t="s">
        <v>11</v>
      </c>
      <c r="B6" s="3" t="s">
        <v>12</v>
      </c>
      <c r="C6" s="3" t="s">
        <v>13</v>
      </c>
      <c r="D6" s="3" t="s">
        <v>14</v>
      </c>
    </row>
    <row r="7" spans="1:7" x14ac:dyDescent="0.25">
      <c r="A7" s="3" t="s">
        <v>15</v>
      </c>
      <c r="B7" s="3" t="s">
        <v>16</v>
      </c>
      <c r="C7" s="3" t="s">
        <v>17</v>
      </c>
      <c r="D7" s="3" t="s">
        <v>17</v>
      </c>
    </row>
  </sheetData>
  <sheetProtection password="C2EC" sheet="1" objects="1" scenarios="1" selectLockedCells="1" selectUnlockedCell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2" tint="-0.89999084444715716"/>
  </sheetPr>
  <dimension ref="A1:AI43"/>
  <sheetViews>
    <sheetView zoomScale="85" zoomScaleNormal="85" workbookViewId="0">
      <selection activeCell="Z30" sqref="Z30"/>
    </sheetView>
  </sheetViews>
  <sheetFormatPr defaultRowHeight="15" x14ac:dyDescent="0.25"/>
  <cols>
    <col min="1" max="1" width="32.85546875" style="3" bestFit="1" customWidth="1"/>
    <col min="2" max="27" width="8" style="3" customWidth="1"/>
    <col min="28" max="16384" width="9.140625" style="3"/>
  </cols>
  <sheetData>
    <row r="1" spans="1:29" s="7" customFormat="1" ht="45.75" customHeight="1" x14ac:dyDescent="0.25">
      <c r="B1" s="187" t="s">
        <v>133</v>
      </c>
      <c r="C1" s="187"/>
      <c r="D1" s="187" t="s">
        <v>134</v>
      </c>
      <c r="E1" s="187"/>
      <c r="F1" s="187" t="s">
        <v>135</v>
      </c>
      <c r="G1" s="187"/>
      <c r="H1" s="187" t="s">
        <v>136</v>
      </c>
      <c r="I1" s="187"/>
      <c r="J1" s="187" t="s">
        <v>137</v>
      </c>
      <c r="K1" s="187"/>
      <c r="L1" s="187" t="s">
        <v>138</v>
      </c>
      <c r="M1" s="187"/>
      <c r="N1" s="187" t="s">
        <v>139</v>
      </c>
      <c r="O1" s="187"/>
      <c r="P1" s="187" t="s">
        <v>140</v>
      </c>
      <c r="Q1" s="187"/>
      <c r="R1" s="187" t="s">
        <v>141</v>
      </c>
      <c r="S1" s="187"/>
      <c r="T1" s="187" t="s">
        <v>142</v>
      </c>
      <c r="U1" s="187"/>
      <c r="V1" s="187" t="s">
        <v>143</v>
      </c>
      <c r="W1" s="187"/>
      <c r="X1" s="187" t="s">
        <v>144</v>
      </c>
      <c r="Y1" s="187"/>
      <c r="Z1" s="187" t="s">
        <v>150</v>
      </c>
      <c r="AA1" s="187"/>
      <c r="AB1" s="187" t="s">
        <v>193</v>
      </c>
      <c r="AC1" s="187"/>
    </row>
    <row r="2" spans="1:29" x14ac:dyDescent="0.25">
      <c r="A2" s="3" t="s">
        <v>48</v>
      </c>
      <c r="B2" s="3" t="s">
        <v>145</v>
      </c>
      <c r="C2" s="3" t="s">
        <v>146</v>
      </c>
      <c r="D2" s="3" t="s">
        <v>145</v>
      </c>
      <c r="E2" s="3" t="s">
        <v>146</v>
      </c>
      <c r="F2" s="3" t="s">
        <v>145</v>
      </c>
      <c r="G2" s="3" t="s">
        <v>146</v>
      </c>
      <c r="H2" s="3" t="s">
        <v>145</v>
      </c>
      <c r="I2" s="3" t="s">
        <v>146</v>
      </c>
      <c r="J2" s="3" t="s">
        <v>145</v>
      </c>
      <c r="K2" s="3" t="s">
        <v>146</v>
      </c>
      <c r="L2" s="3" t="s">
        <v>145</v>
      </c>
      <c r="M2" s="3" t="s">
        <v>146</v>
      </c>
      <c r="N2" s="3" t="s">
        <v>145</v>
      </c>
      <c r="O2" s="3" t="s">
        <v>146</v>
      </c>
      <c r="P2" s="3" t="s">
        <v>145</v>
      </c>
      <c r="Q2" s="3" t="s">
        <v>146</v>
      </c>
      <c r="R2" s="3" t="s">
        <v>145</v>
      </c>
      <c r="S2" s="3" t="s">
        <v>146</v>
      </c>
      <c r="T2" s="3" t="s">
        <v>145</v>
      </c>
      <c r="U2" s="3" t="s">
        <v>146</v>
      </c>
      <c r="V2" s="3" t="s">
        <v>145</v>
      </c>
      <c r="W2" s="3" t="s">
        <v>146</v>
      </c>
      <c r="X2" s="3" t="s">
        <v>145</v>
      </c>
      <c r="Y2" s="3" t="s">
        <v>146</v>
      </c>
      <c r="Z2" s="3" t="s">
        <v>145</v>
      </c>
      <c r="AA2" s="3" t="s">
        <v>146</v>
      </c>
    </row>
    <row r="3" spans="1:29" x14ac:dyDescent="0.25">
      <c r="A3" s="3" t="s">
        <v>87</v>
      </c>
      <c r="B3" s="45"/>
      <c r="C3" s="45"/>
      <c r="D3" s="43">
        <v>1</v>
      </c>
      <c r="E3" s="43">
        <v>1</v>
      </c>
      <c r="F3" s="42">
        <v>1</v>
      </c>
      <c r="G3" s="42">
        <v>1</v>
      </c>
      <c r="H3" s="43">
        <v>1</v>
      </c>
      <c r="I3" s="43">
        <v>1</v>
      </c>
      <c r="J3" s="43">
        <v>1</v>
      </c>
      <c r="K3" s="43">
        <v>1</v>
      </c>
      <c r="L3" s="42"/>
      <c r="M3" s="42"/>
      <c r="N3" s="43">
        <v>1</v>
      </c>
      <c r="O3" s="44">
        <v>1</v>
      </c>
      <c r="P3" s="43"/>
      <c r="Q3" s="44"/>
      <c r="R3" s="42">
        <v>1</v>
      </c>
      <c r="S3" s="44">
        <v>1</v>
      </c>
      <c r="T3" s="42">
        <v>1</v>
      </c>
      <c r="U3" s="44">
        <v>1</v>
      </c>
      <c r="V3" s="43">
        <v>1</v>
      </c>
      <c r="W3" s="44">
        <v>1</v>
      </c>
      <c r="X3" s="43"/>
      <c r="Y3" s="44"/>
      <c r="Z3" s="43">
        <v>1</v>
      </c>
      <c r="AA3" s="43">
        <v>1</v>
      </c>
    </row>
    <row r="4" spans="1:29" x14ac:dyDescent="0.25">
      <c r="A4" s="3" t="s">
        <v>19</v>
      </c>
      <c r="B4" s="43"/>
      <c r="C4" s="43"/>
      <c r="D4" s="43">
        <v>1</v>
      </c>
      <c r="E4" s="43">
        <v>1</v>
      </c>
      <c r="F4" s="43">
        <v>1</v>
      </c>
      <c r="G4" s="43">
        <v>1</v>
      </c>
      <c r="H4" s="43">
        <v>1</v>
      </c>
      <c r="I4" s="43">
        <v>1</v>
      </c>
      <c r="J4" s="43">
        <v>1</v>
      </c>
      <c r="K4" s="43">
        <v>1</v>
      </c>
      <c r="L4" s="42"/>
      <c r="M4" s="42"/>
      <c r="N4" s="43"/>
      <c r="O4" s="44"/>
      <c r="P4" s="43"/>
      <c r="Q4" s="44"/>
      <c r="R4" s="43">
        <v>1</v>
      </c>
      <c r="S4" s="44">
        <v>1</v>
      </c>
      <c r="T4" s="43">
        <v>1</v>
      </c>
      <c r="U4" s="44">
        <v>1</v>
      </c>
      <c r="V4" s="43"/>
      <c r="W4" s="44"/>
      <c r="X4" s="43"/>
      <c r="Y4" s="44"/>
      <c r="Z4" s="43">
        <v>1</v>
      </c>
      <c r="AA4" s="43">
        <v>1</v>
      </c>
      <c r="AB4" s="3">
        <v>1</v>
      </c>
      <c r="AC4" s="3">
        <v>1</v>
      </c>
    </row>
    <row r="5" spans="1:29" x14ac:dyDescent="0.25">
      <c r="A5" s="3" t="s">
        <v>20</v>
      </c>
      <c r="B5" s="43">
        <v>1</v>
      </c>
      <c r="C5" s="43">
        <v>1</v>
      </c>
      <c r="D5" s="43">
        <v>1</v>
      </c>
      <c r="E5" s="43">
        <v>1</v>
      </c>
      <c r="F5" s="43">
        <v>1</v>
      </c>
      <c r="G5" s="43">
        <v>1</v>
      </c>
      <c r="H5" s="43">
        <v>1</v>
      </c>
      <c r="I5" s="43">
        <v>1</v>
      </c>
      <c r="J5" s="43">
        <v>1</v>
      </c>
      <c r="K5" s="43">
        <v>1</v>
      </c>
      <c r="L5" s="43">
        <v>1</v>
      </c>
      <c r="M5" s="43">
        <v>1</v>
      </c>
      <c r="N5" s="43">
        <v>1</v>
      </c>
      <c r="O5" s="44">
        <v>1</v>
      </c>
      <c r="P5" s="43">
        <v>1</v>
      </c>
      <c r="Q5" s="44">
        <v>1</v>
      </c>
      <c r="R5" s="43">
        <v>1</v>
      </c>
      <c r="S5" s="44">
        <v>1</v>
      </c>
      <c r="T5" s="43">
        <v>1</v>
      </c>
      <c r="U5" s="44">
        <v>1</v>
      </c>
      <c r="V5" s="43">
        <v>1</v>
      </c>
      <c r="W5" s="44">
        <v>1</v>
      </c>
      <c r="X5" s="43"/>
      <c r="Y5" s="44"/>
      <c r="Z5" s="43"/>
      <c r="AA5" s="43"/>
    </row>
    <row r="6" spans="1:29" x14ac:dyDescent="0.25">
      <c r="A6" s="3" t="s">
        <v>21</v>
      </c>
      <c r="B6" s="43"/>
      <c r="C6" s="43"/>
      <c r="D6" s="43">
        <v>1</v>
      </c>
      <c r="E6" s="43">
        <v>1</v>
      </c>
      <c r="F6" s="43">
        <v>1</v>
      </c>
      <c r="G6" s="43">
        <v>1</v>
      </c>
      <c r="H6" s="43">
        <v>1</v>
      </c>
      <c r="I6" s="43">
        <v>1</v>
      </c>
      <c r="J6" s="43">
        <v>1</v>
      </c>
      <c r="K6" s="43">
        <v>1</v>
      </c>
      <c r="L6" s="42"/>
      <c r="M6" s="42"/>
      <c r="N6" s="43">
        <v>1</v>
      </c>
      <c r="O6" s="44">
        <v>1</v>
      </c>
      <c r="P6" s="43"/>
      <c r="Q6" s="44"/>
      <c r="R6" s="43">
        <v>1</v>
      </c>
      <c r="S6" s="44">
        <v>1</v>
      </c>
      <c r="T6" s="43">
        <v>1</v>
      </c>
      <c r="U6" s="44">
        <v>1</v>
      </c>
      <c r="V6" s="43">
        <v>1</v>
      </c>
      <c r="W6" s="44">
        <v>1</v>
      </c>
      <c r="X6" s="43">
        <v>1</v>
      </c>
      <c r="Y6" s="44">
        <v>1</v>
      </c>
      <c r="Z6" s="43">
        <v>1</v>
      </c>
      <c r="AA6" s="43">
        <v>1</v>
      </c>
      <c r="AB6" s="3">
        <v>1</v>
      </c>
      <c r="AC6" s="3">
        <v>1</v>
      </c>
    </row>
    <row r="7" spans="1:29" x14ac:dyDescent="0.25">
      <c r="A7" s="3" t="s">
        <v>22</v>
      </c>
      <c r="B7" s="43">
        <v>1</v>
      </c>
      <c r="C7" s="43">
        <v>1</v>
      </c>
      <c r="D7" s="43">
        <v>1</v>
      </c>
      <c r="E7" s="43">
        <v>1</v>
      </c>
      <c r="F7" s="43">
        <v>1</v>
      </c>
      <c r="G7" s="43">
        <v>1</v>
      </c>
      <c r="H7" s="43">
        <v>1</v>
      </c>
      <c r="I7" s="43">
        <v>1</v>
      </c>
      <c r="J7" s="43">
        <v>1</v>
      </c>
      <c r="K7" s="43">
        <v>1</v>
      </c>
      <c r="L7" s="42">
        <v>1</v>
      </c>
      <c r="M7" s="42">
        <v>1</v>
      </c>
      <c r="N7" s="43">
        <v>1</v>
      </c>
      <c r="O7" s="44">
        <v>1</v>
      </c>
      <c r="P7" s="43">
        <v>1</v>
      </c>
      <c r="Q7" s="44">
        <v>1</v>
      </c>
      <c r="R7" s="43">
        <v>1</v>
      </c>
      <c r="S7" s="44">
        <v>1</v>
      </c>
      <c r="T7" s="43">
        <v>1</v>
      </c>
      <c r="U7" s="44">
        <v>1</v>
      </c>
      <c r="V7" s="43">
        <v>1</v>
      </c>
      <c r="W7" s="44">
        <v>1</v>
      </c>
      <c r="X7" s="43"/>
      <c r="Y7" s="44"/>
      <c r="Z7" s="43"/>
      <c r="AA7" s="43"/>
    </row>
    <row r="8" spans="1:29" x14ac:dyDescent="0.25">
      <c r="A8" s="3" t="s">
        <v>23</v>
      </c>
      <c r="B8" s="43"/>
      <c r="C8" s="43"/>
      <c r="D8" s="43">
        <v>1</v>
      </c>
      <c r="E8" s="43">
        <v>1</v>
      </c>
      <c r="F8" s="43">
        <v>1</v>
      </c>
      <c r="G8" s="43">
        <v>1</v>
      </c>
      <c r="H8" s="43">
        <v>1</v>
      </c>
      <c r="I8" s="43">
        <v>1</v>
      </c>
      <c r="J8" s="43">
        <v>1</v>
      </c>
      <c r="K8" s="43">
        <v>1</v>
      </c>
      <c r="L8" s="42"/>
      <c r="M8" s="42"/>
      <c r="N8" s="43">
        <v>1</v>
      </c>
      <c r="O8" s="44">
        <v>1</v>
      </c>
      <c r="P8" s="43"/>
      <c r="Q8" s="44"/>
      <c r="R8" s="43"/>
      <c r="S8" s="44"/>
      <c r="T8" s="43">
        <v>1</v>
      </c>
      <c r="U8" s="44">
        <v>1</v>
      </c>
      <c r="V8" s="43">
        <v>1</v>
      </c>
      <c r="W8" s="44">
        <v>1</v>
      </c>
      <c r="X8" s="43"/>
      <c r="Y8" s="44"/>
      <c r="Z8" s="43">
        <v>1</v>
      </c>
      <c r="AA8" s="43">
        <v>1</v>
      </c>
    </row>
    <row r="9" spans="1:29" x14ac:dyDescent="0.25">
      <c r="A9" s="3" t="s">
        <v>88</v>
      </c>
      <c r="B9" s="43"/>
      <c r="C9" s="43"/>
      <c r="D9" s="43">
        <v>1</v>
      </c>
      <c r="E9" s="43">
        <v>1</v>
      </c>
      <c r="F9" s="43">
        <v>1</v>
      </c>
      <c r="G9" s="43">
        <v>1</v>
      </c>
      <c r="H9" s="43">
        <v>1</v>
      </c>
      <c r="I9" s="43">
        <v>1</v>
      </c>
      <c r="J9" s="43">
        <v>1</v>
      </c>
      <c r="K9" s="43">
        <v>1</v>
      </c>
      <c r="L9" s="42"/>
      <c r="M9" s="42"/>
      <c r="N9" s="43">
        <v>1</v>
      </c>
      <c r="O9" s="44">
        <v>1</v>
      </c>
      <c r="P9" s="43"/>
      <c r="Q9" s="44"/>
      <c r="R9" s="43">
        <v>1</v>
      </c>
      <c r="S9" s="44">
        <v>1</v>
      </c>
      <c r="T9" s="43">
        <v>1</v>
      </c>
      <c r="U9" s="44">
        <v>1</v>
      </c>
      <c r="V9" s="43">
        <v>1</v>
      </c>
      <c r="W9" s="44">
        <v>1</v>
      </c>
      <c r="X9" s="43">
        <v>1</v>
      </c>
      <c r="Y9" s="44">
        <v>1</v>
      </c>
      <c r="Z9" s="43">
        <v>1</v>
      </c>
      <c r="AA9" s="43">
        <v>1</v>
      </c>
    </row>
    <row r="10" spans="1:29" x14ac:dyDescent="0.25">
      <c r="A10" s="3" t="s">
        <v>89</v>
      </c>
      <c r="B10" s="43"/>
      <c r="C10" s="43"/>
      <c r="D10" s="43">
        <v>1</v>
      </c>
      <c r="E10" s="43">
        <v>1</v>
      </c>
      <c r="F10" s="43">
        <v>1</v>
      </c>
      <c r="G10" s="43">
        <v>1</v>
      </c>
      <c r="H10" s="43"/>
      <c r="I10" s="43"/>
      <c r="J10" s="43">
        <v>1</v>
      </c>
      <c r="K10" s="43">
        <v>1</v>
      </c>
      <c r="L10" s="42"/>
      <c r="M10" s="42"/>
      <c r="N10" s="43">
        <v>1</v>
      </c>
      <c r="O10" s="44">
        <v>1</v>
      </c>
      <c r="P10" s="43"/>
      <c r="Q10" s="44"/>
      <c r="R10" s="43"/>
      <c r="S10" s="44"/>
      <c r="T10" s="43"/>
      <c r="U10" s="44"/>
      <c r="V10" s="43">
        <v>1</v>
      </c>
      <c r="W10" s="44">
        <v>1</v>
      </c>
      <c r="X10" s="43">
        <v>1</v>
      </c>
      <c r="Y10" s="44">
        <v>1</v>
      </c>
      <c r="Z10" s="43"/>
      <c r="AA10" s="43"/>
      <c r="AB10" s="3">
        <v>1</v>
      </c>
      <c r="AC10" s="3">
        <v>1</v>
      </c>
    </row>
    <row r="11" spans="1:29" x14ac:dyDescent="0.25">
      <c r="A11" s="3" t="s">
        <v>26</v>
      </c>
      <c r="B11" s="43">
        <v>1</v>
      </c>
      <c r="C11" s="43">
        <v>1</v>
      </c>
      <c r="D11" s="43">
        <v>1</v>
      </c>
      <c r="E11" s="43">
        <v>1</v>
      </c>
      <c r="F11" s="43">
        <v>1</v>
      </c>
      <c r="G11" s="43">
        <v>1</v>
      </c>
      <c r="H11" s="43">
        <v>1</v>
      </c>
      <c r="I11" s="43">
        <v>1</v>
      </c>
      <c r="J11" s="43">
        <v>1</v>
      </c>
      <c r="K11" s="43">
        <v>1</v>
      </c>
      <c r="L11" s="42"/>
      <c r="M11" s="42"/>
      <c r="N11" s="43">
        <v>1</v>
      </c>
      <c r="O11" s="44">
        <v>1</v>
      </c>
      <c r="P11" s="43">
        <v>1</v>
      </c>
      <c r="Q11" s="44">
        <v>1</v>
      </c>
      <c r="R11" s="43">
        <v>1</v>
      </c>
      <c r="S11" s="44">
        <v>1</v>
      </c>
      <c r="T11" s="43">
        <v>1</v>
      </c>
      <c r="U11" s="44">
        <v>1</v>
      </c>
      <c r="V11" s="43">
        <v>1</v>
      </c>
      <c r="W11" s="44">
        <v>1</v>
      </c>
      <c r="X11" s="43">
        <v>1</v>
      </c>
      <c r="Y11" s="44">
        <v>1</v>
      </c>
      <c r="Z11" s="43"/>
      <c r="AA11" s="43"/>
      <c r="AB11" s="3">
        <v>1</v>
      </c>
      <c r="AC11" s="3">
        <v>1</v>
      </c>
    </row>
    <row r="12" spans="1:29" x14ac:dyDescent="0.25">
      <c r="A12" s="3" t="s">
        <v>27</v>
      </c>
      <c r="B12" s="43">
        <v>1</v>
      </c>
      <c r="C12" s="43">
        <v>1</v>
      </c>
      <c r="D12" s="43">
        <v>1</v>
      </c>
      <c r="E12" s="43">
        <v>1</v>
      </c>
      <c r="F12" s="43">
        <v>1</v>
      </c>
      <c r="G12" s="43">
        <v>1</v>
      </c>
      <c r="H12" s="43">
        <v>1</v>
      </c>
      <c r="I12" s="43">
        <v>1</v>
      </c>
      <c r="J12" s="43">
        <v>1</v>
      </c>
      <c r="K12" s="43">
        <v>1</v>
      </c>
      <c r="L12" s="42">
        <v>1</v>
      </c>
      <c r="M12" s="42">
        <v>1</v>
      </c>
      <c r="N12" s="43">
        <v>1</v>
      </c>
      <c r="O12" s="44">
        <v>1</v>
      </c>
      <c r="P12" s="43">
        <v>1</v>
      </c>
      <c r="Q12" s="44">
        <v>1</v>
      </c>
      <c r="R12" s="43">
        <v>1</v>
      </c>
      <c r="S12" s="44">
        <v>1</v>
      </c>
      <c r="T12" s="43">
        <v>1</v>
      </c>
      <c r="U12" s="44">
        <v>1</v>
      </c>
      <c r="V12" s="43">
        <v>1</v>
      </c>
      <c r="W12" s="44">
        <v>1</v>
      </c>
      <c r="X12" s="43"/>
      <c r="Y12" s="44"/>
      <c r="Z12" s="43"/>
      <c r="AA12" s="43"/>
    </row>
    <row r="13" spans="1:29" x14ac:dyDescent="0.25">
      <c r="A13" s="3" t="s">
        <v>28</v>
      </c>
      <c r="B13" s="43"/>
      <c r="C13" s="43"/>
      <c r="D13" s="43">
        <v>1</v>
      </c>
      <c r="E13" s="43">
        <v>1</v>
      </c>
      <c r="F13" s="43">
        <v>1</v>
      </c>
      <c r="G13" s="43">
        <v>1</v>
      </c>
      <c r="H13" s="43">
        <v>1</v>
      </c>
      <c r="I13" s="43">
        <v>1</v>
      </c>
      <c r="J13" s="43">
        <v>1</v>
      </c>
      <c r="K13" s="43">
        <v>1</v>
      </c>
      <c r="L13" s="42"/>
      <c r="M13" s="42"/>
      <c r="N13" s="43"/>
      <c r="O13" s="44"/>
      <c r="P13" s="43"/>
      <c r="Q13" s="44"/>
      <c r="R13" s="43">
        <v>1</v>
      </c>
      <c r="S13" s="44">
        <v>1</v>
      </c>
      <c r="T13" s="43">
        <v>1</v>
      </c>
      <c r="U13" s="44">
        <v>1</v>
      </c>
      <c r="V13" s="43">
        <v>1</v>
      </c>
      <c r="W13" s="44">
        <v>1</v>
      </c>
      <c r="X13" s="43"/>
      <c r="Y13" s="44"/>
      <c r="Z13" s="43">
        <v>1</v>
      </c>
      <c r="AA13" s="43">
        <v>1</v>
      </c>
    </row>
    <row r="14" spans="1:29" x14ac:dyDescent="0.25">
      <c r="A14" s="3" t="s">
        <v>29</v>
      </c>
      <c r="B14" s="43">
        <v>1</v>
      </c>
      <c r="C14" s="43">
        <v>1</v>
      </c>
      <c r="D14" s="43">
        <v>1</v>
      </c>
      <c r="E14" s="43">
        <v>1</v>
      </c>
      <c r="F14" s="43">
        <v>1</v>
      </c>
      <c r="G14" s="43">
        <v>1</v>
      </c>
      <c r="H14" s="43"/>
      <c r="I14" s="43"/>
      <c r="J14" s="43">
        <v>1</v>
      </c>
      <c r="K14" s="43">
        <v>1</v>
      </c>
      <c r="L14" s="42">
        <v>1</v>
      </c>
      <c r="M14" s="42">
        <v>1</v>
      </c>
      <c r="N14" s="43"/>
      <c r="O14" s="44"/>
      <c r="P14" s="43"/>
      <c r="Q14" s="44"/>
      <c r="R14" s="43"/>
      <c r="S14" s="44"/>
      <c r="T14" s="43">
        <v>1</v>
      </c>
      <c r="U14" s="44">
        <v>1</v>
      </c>
      <c r="V14" s="43">
        <v>1</v>
      </c>
      <c r="W14" s="44">
        <v>1</v>
      </c>
      <c r="X14" s="43">
        <v>1</v>
      </c>
      <c r="Y14" s="44">
        <v>1</v>
      </c>
      <c r="Z14" s="43">
        <v>1</v>
      </c>
      <c r="AA14" s="43">
        <v>1</v>
      </c>
    </row>
    <row r="15" spans="1:29" x14ac:dyDescent="0.25">
      <c r="A15" s="3" t="s">
        <v>30</v>
      </c>
      <c r="B15" s="43"/>
      <c r="C15" s="43"/>
      <c r="D15" s="43">
        <v>1</v>
      </c>
      <c r="E15" s="43">
        <v>1</v>
      </c>
      <c r="F15" s="43">
        <v>1</v>
      </c>
      <c r="G15" s="43">
        <v>1</v>
      </c>
      <c r="H15" s="43">
        <v>1</v>
      </c>
      <c r="I15" s="43">
        <v>1</v>
      </c>
      <c r="J15" s="43">
        <v>1</v>
      </c>
      <c r="K15" s="43">
        <v>1</v>
      </c>
      <c r="L15" s="42"/>
      <c r="M15" s="42"/>
      <c r="N15" s="43">
        <v>1</v>
      </c>
      <c r="O15" s="44">
        <v>1</v>
      </c>
      <c r="P15" s="43"/>
      <c r="Q15" s="44"/>
      <c r="R15" s="43"/>
      <c r="S15" s="44"/>
      <c r="T15" s="43">
        <v>1</v>
      </c>
      <c r="U15" s="44">
        <v>1</v>
      </c>
      <c r="V15" s="43">
        <v>1</v>
      </c>
      <c r="W15" s="44">
        <v>1</v>
      </c>
      <c r="X15" s="43"/>
      <c r="Y15" s="44"/>
      <c r="Z15" s="43">
        <v>1</v>
      </c>
      <c r="AA15" s="43">
        <v>1</v>
      </c>
    </row>
    <row r="16" spans="1:29" x14ac:dyDescent="0.25">
      <c r="A16" s="3" t="s">
        <v>90</v>
      </c>
      <c r="B16" s="43"/>
      <c r="C16" s="43"/>
      <c r="D16" s="43">
        <v>1</v>
      </c>
      <c r="E16" s="43">
        <v>1</v>
      </c>
      <c r="F16" s="43">
        <v>1</v>
      </c>
      <c r="G16" s="43">
        <v>1</v>
      </c>
      <c r="H16" s="43"/>
      <c r="I16" s="43"/>
      <c r="J16" s="43">
        <v>1</v>
      </c>
      <c r="K16" s="43">
        <v>1</v>
      </c>
      <c r="L16" s="42"/>
      <c r="M16" s="42"/>
      <c r="N16" s="43"/>
      <c r="O16" s="44"/>
      <c r="P16" s="43"/>
      <c r="Q16" s="44"/>
      <c r="R16" s="43">
        <v>1</v>
      </c>
      <c r="S16" s="44">
        <v>1</v>
      </c>
      <c r="T16" s="43">
        <v>1</v>
      </c>
      <c r="U16" s="44">
        <v>1</v>
      </c>
      <c r="V16" s="43"/>
      <c r="W16" s="44"/>
      <c r="X16" s="43"/>
      <c r="Y16" s="44"/>
      <c r="Z16" s="43">
        <v>1</v>
      </c>
      <c r="AA16" s="43">
        <v>1</v>
      </c>
    </row>
    <row r="17" spans="1:29" x14ac:dyDescent="0.25">
      <c r="A17" s="3" t="s">
        <v>91</v>
      </c>
      <c r="B17" s="43"/>
      <c r="C17" s="43"/>
      <c r="D17" s="43">
        <v>1</v>
      </c>
      <c r="E17" s="43">
        <v>1</v>
      </c>
      <c r="F17" s="43">
        <v>1</v>
      </c>
      <c r="G17" s="43">
        <v>1</v>
      </c>
      <c r="H17" s="43">
        <v>1</v>
      </c>
      <c r="I17" s="43">
        <v>1</v>
      </c>
      <c r="J17" s="43">
        <v>1</v>
      </c>
      <c r="K17" s="43">
        <v>1</v>
      </c>
      <c r="L17" s="42"/>
      <c r="M17" s="42"/>
      <c r="N17" s="43"/>
      <c r="O17" s="44"/>
      <c r="P17" s="43"/>
      <c r="Q17" s="44"/>
      <c r="R17" s="43"/>
      <c r="S17" s="44"/>
      <c r="T17" s="43">
        <v>1</v>
      </c>
      <c r="U17" s="44">
        <v>1</v>
      </c>
      <c r="V17" s="43"/>
      <c r="W17" s="44"/>
      <c r="X17" s="43">
        <v>1</v>
      </c>
      <c r="Y17" s="44">
        <v>1</v>
      </c>
      <c r="Z17" s="43">
        <v>1</v>
      </c>
      <c r="AA17" s="43">
        <v>1</v>
      </c>
      <c r="AB17" s="3">
        <v>1</v>
      </c>
      <c r="AC17" s="3">
        <v>1</v>
      </c>
    </row>
    <row r="18" spans="1:29" x14ac:dyDescent="0.25">
      <c r="A18" s="3" t="s">
        <v>33</v>
      </c>
      <c r="B18" s="43">
        <v>1</v>
      </c>
      <c r="C18" s="43">
        <v>1</v>
      </c>
      <c r="D18" s="43">
        <v>1</v>
      </c>
      <c r="E18" s="43">
        <v>1</v>
      </c>
      <c r="F18" s="43">
        <v>1</v>
      </c>
      <c r="G18" s="43">
        <v>1</v>
      </c>
      <c r="H18" s="43">
        <v>1</v>
      </c>
      <c r="I18" s="43">
        <v>1</v>
      </c>
      <c r="J18" s="43">
        <v>1</v>
      </c>
      <c r="K18" s="43">
        <v>1</v>
      </c>
      <c r="L18" s="42">
        <v>1</v>
      </c>
      <c r="M18" s="42">
        <v>1</v>
      </c>
      <c r="N18" s="43">
        <v>1</v>
      </c>
      <c r="O18" s="44">
        <v>1</v>
      </c>
      <c r="P18" s="43">
        <v>1</v>
      </c>
      <c r="Q18" s="44">
        <v>1</v>
      </c>
      <c r="R18" s="43">
        <v>1</v>
      </c>
      <c r="S18" s="44">
        <v>1</v>
      </c>
      <c r="T18" s="43">
        <v>1</v>
      </c>
      <c r="U18" s="44">
        <v>1</v>
      </c>
      <c r="V18" s="43">
        <v>1</v>
      </c>
      <c r="W18" s="44">
        <v>1</v>
      </c>
      <c r="X18" s="43"/>
      <c r="Y18" s="44"/>
      <c r="Z18" s="43"/>
      <c r="AA18" s="43"/>
    </row>
    <row r="19" spans="1:29" x14ac:dyDescent="0.25">
      <c r="A19" s="3" t="s">
        <v>34</v>
      </c>
      <c r="B19" s="43">
        <v>1</v>
      </c>
      <c r="C19" s="43">
        <v>1</v>
      </c>
      <c r="D19" s="43">
        <v>1</v>
      </c>
      <c r="E19" s="43">
        <v>1</v>
      </c>
      <c r="F19" s="43">
        <v>1</v>
      </c>
      <c r="G19" s="43">
        <v>1</v>
      </c>
      <c r="H19" s="43">
        <v>1</v>
      </c>
      <c r="I19" s="43">
        <v>1</v>
      </c>
      <c r="J19" s="43">
        <v>1</v>
      </c>
      <c r="K19" s="43">
        <v>1</v>
      </c>
      <c r="L19" s="42"/>
      <c r="M19" s="42"/>
      <c r="N19" s="43">
        <v>1</v>
      </c>
      <c r="O19" s="44">
        <v>1</v>
      </c>
      <c r="P19" s="43">
        <v>1</v>
      </c>
      <c r="Q19" s="44">
        <v>1</v>
      </c>
      <c r="R19" s="43">
        <v>1</v>
      </c>
      <c r="S19" s="44">
        <v>1</v>
      </c>
      <c r="T19" s="43">
        <v>1</v>
      </c>
      <c r="U19" s="44">
        <v>1</v>
      </c>
      <c r="V19" s="43">
        <v>1</v>
      </c>
      <c r="W19" s="44">
        <v>1</v>
      </c>
      <c r="X19" s="43"/>
      <c r="Y19" s="44"/>
      <c r="Z19" s="43">
        <v>1</v>
      </c>
      <c r="AA19" s="43">
        <v>1</v>
      </c>
    </row>
    <row r="20" spans="1:29" x14ac:dyDescent="0.25">
      <c r="A20" s="3" t="s">
        <v>92</v>
      </c>
      <c r="B20" s="43"/>
      <c r="C20" s="43"/>
      <c r="D20" s="43">
        <v>1</v>
      </c>
      <c r="E20" s="43">
        <v>1</v>
      </c>
      <c r="F20" s="43">
        <v>1</v>
      </c>
      <c r="G20" s="43">
        <v>1</v>
      </c>
      <c r="H20" s="43">
        <v>1</v>
      </c>
      <c r="I20" s="43">
        <v>1</v>
      </c>
      <c r="J20" s="43">
        <v>1</v>
      </c>
      <c r="K20" s="43">
        <v>1</v>
      </c>
      <c r="L20" s="42"/>
      <c r="M20" s="42"/>
      <c r="N20" s="43"/>
      <c r="O20" s="44"/>
      <c r="P20" s="43"/>
      <c r="Q20" s="44"/>
      <c r="R20" s="43"/>
      <c r="S20" s="44"/>
      <c r="T20" s="43">
        <v>1</v>
      </c>
      <c r="U20" s="44">
        <v>1</v>
      </c>
      <c r="V20" s="43"/>
      <c r="W20" s="44"/>
      <c r="X20" s="43">
        <v>1</v>
      </c>
      <c r="Y20" s="44">
        <v>1</v>
      </c>
      <c r="Z20" s="43">
        <v>1</v>
      </c>
      <c r="AA20" s="43">
        <v>1</v>
      </c>
    </row>
    <row r="21" spans="1:29" x14ac:dyDescent="0.25">
      <c r="A21" s="3" t="s">
        <v>36</v>
      </c>
      <c r="B21" s="43">
        <v>1</v>
      </c>
      <c r="C21" s="43">
        <v>1</v>
      </c>
      <c r="D21" s="43">
        <v>1</v>
      </c>
      <c r="E21" s="43">
        <v>1</v>
      </c>
      <c r="F21" s="43">
        <v>1</v>
      </c>
      <c r="G21" s="43">
        <v>1</v>
      </c>
      <c r="H21" s="43">
        <v>1</v>
      </c>
      <c r="I21" s="43">
        <v>1</v>
      </c>
      <c r="J21" s="43">
        <v>1</v>
      </c>
      <c r="K21" s="43">
        <v>1</v>
      </c>
      <c r="L21" s="42">
        <v>1</v>
      </c>
      <c r="M21" s="42">
        <v>1</v>
      </c>
      <c r="N21" s="43">
        <v>1</v>
      </c>
      <c r="O21" s="44">
        <v>1</v>
      </c>
      <c r="P21" s="43"/>
      <c r="Q21" s="44"/>
      <c r="R21" s="43">
        <v>1</v>
      </c>
      <c r="S21" s="44">
        <v>1</v>
      </c>
      <c r="T21" s="43">
        <v>1</v>
      </c>
      <c r="U21" s="44">
        <v>1</v>
      </c>
      <c r="V21" s="43">
        <v>1</v>
      </c>
      <c r="W21" s="44">
        <v>1</v>
      </c>
      <c r="X21" s="43"/>
      <c r="Y21" s="44"/>
      <c r="Z21" s="43">
        <v>1</v>
      </c>
      <c r="AA21" s="43">
        <v>1</v>
      </c>
      <c r="AC21" s="3">
        <v>1</v>
      </c>
    </row>
    <row r="22" spans="1:29" x14ac:dyDescent="0.25">
      <c r="A22" s="3" t="s">
        <v>37</v>
      </c>
      <c r="B22" s="43"/>
      <c r="C22" s="43"/>
      <c r="D22" s="43">
        <v>1</v>
      </c>
      <c r="E22" s="43">
        <v>1</v>
      </c>
      <c r="F22" s="43">
        <v>1</v>
      </c>
      <c r="G22" s="43">
        <v>1</v>
      </c>
      <c r="H22" s="43"/>
      <c r="I22" s="43"/>
      <c r="J22" s="43">
        <v>1</v>
      </c>
      <c r="K22" s="43">
        <v>1</v>
      </c>
      <c r="L22" s="42"/>
      <c r="M22" s="42"/>
      <c r="N22" s="43">
        <v>1</v>
      </c>
      <c r="O22" s="44">
        <v>1</v>
      </c>
      <c r="P22" s="43"/>
      <c r="Q22" s="44"/>
      <c r="R22" s="43">
        <v>1</v>
      </c>
      <c r="S22" s="44">
        <v>1</v>
      </c>
      <c r="T22" s="43">
        <v>1</v>
      </c>
      <c r="U22" s="44">
        <v>1</v>
      </c>
      <c r="V22" s="43">
        <v>1</v>
      </c>
      <c r="W22" s="44">
        <v>1</v>
      </c>
      <c r="X22" s="43"/>
      <c r="Y22" s="44"/>
      <c r="Z22" s="43"/>
      <c r="AA22" s="43"/>
      <c r="AB22" s="3">
        <v>1</v>
      </c>
      <c r="AC22" s="3">
        <v>1</v>
      </c>
    </row>
    <row r="23" spans="1:29" x14ac:dyDescent="0.25">
      <c r="A23" s="3" t="s">
        <v>38</v>
      </c>
      <c r="B23" s="43"/>
      <c r="C23" s="43"/>
      <c r="D23" s="43">
        <v>1</v>
      </c>
      <c r="E23" s="43">
        <v>1</v>
      </c>
      <c r="F23" s="43">
        <v>1</v>
      </c>
      <c r="G23" s="43">
        <v>1</v>
      </c>
      <c r="H23" s="43"/>
      <c r="I23" s="43"/>
      <c r="J23" s="43">
        <v>1</v>
      </c>
      <c r="K23" s="43">
        <v>1</v>
      </c>
      <c r="L23" s="42"/>
      <c r="M23" s="42"/>
      <c r="N23" s="43">
        <v>1</v>
      </c>
      <c r="O23" s="44">
        <v>1</v>
      </c>
      <c r="P23" s="43"/>
      <c r="Q23" s="44"/>
      <c r="R23" s="43">
        <v>1</v>
      </c>
      <c r="S23" s="44">
        <v>1</v>
      </c>
      <c r="T23" s="43">
        <v>1</v>
      </c>
      <c r="U23" s="44">
        <v>1</v>
      </c>
      <c r="V23" s="43">
        <v>1</v>
      </c>
      <c r="W23" s="44">
        <v>1</v>
      </c>
      <c r="X23" s="43"/>
      <c r="Y23" s="44"/>
      <c r="Z23" s="43">
        <v>1</v>
      </c>
      <c r="AA23" s="43">
        <v>1</v>
      </c>
      <c r="AB23" s="3">
        <v>1</v>
      </c>
      <c r="AC23" s="3">
        <v>1</v>
      </c>
    </row>
    <row r="24" spans="1:29" x14ac:dyDescent="0.25">
      <c r="A24" s="3" t="s">
        <v>39</v>
      </c>
      <c r="B24" s="43">
        <v>1</v>
      </c>
      <c r="C24" s="43">
        <v>1</v>
      </c>
      <c r="D24" s="43">
        <v>1</v>
      </c>
      <c r="E24" s="43">
        <v>1</v>
      </c>
      <c r="F24" s="43">
        <v>1</v>
      </c>
      <c r="G24" s="43">
        <v>1</v>
      </c>
      <c r="H24" s="43">
        <v>1</v>
      </c>
      <c r="I24" s="43">
        <v>1</v>
      </c>
      <c r="J24" s="43">
        <v>1</v>
      </c>
      <c r="K24" s="43">
        <v>1</v>
      </c>
      <c r="L24" s="42"/>
      <c r="M24" s="42"/>
      <c r="N24" s="43">
        <v>1</v>
      </c>
      <c r="O24" s="44">
        <v>1</v>
      </c>
      <c r="P24" s="43">
        <v>1</v>
      </c>
      <c r="Q24" s="44">
        <v>1</v>
      </c>
      <c r="R24" s="43">
        <v>1</v>
      </c>
      <c r="S24" s="44">
        <v>1</v>
      </c>
      <c r="T24" s="43">
        <v>1</v>
      </c>
      <c r="U24" s="44">
        <v>1</v>
      </c>
      <c r="V24" s="43">
        <v>1</v>
      </c>
      <c r="W24" s="44">
        <v>1</v>
      </c>
      <c r="X24" s="43"/>
      <c r="Y24" s="44"/>
      <c r="Z24" s="43">
        <v>1</v>
      </c>
      <c r="AA24" s="43">
        <v>1</v>
      </c>
    </row>
    <row r="25" spans="1:29" x14ac:dyDescent="0.25">
      <c r="A25" s="3" t="s">
        <v>40</v>
      </c>
      <c r="B25" s="43"/>
      <c r="C25" s="43"/>
      <c r="D25" s="43">
        <v>1</v>
      </c>
      <c r="E25" s="43">
        <v>1</v>
      </c>
      <c r="F25" s="43">
        <v>1</v>
      </c>
      <c r="G25" s="43">
        <v>1</v>
      </c>
      <c r="H25" s="43"/>
      <c r="I25" s="43"/>
      <c r="J25" s="43">
        <v>1</v>
      </c>
      <c r="K25" s="43">
        <v>1</v>
      </c>
      <c r="L25" s="42"/>
      <c r="M25" s="42"/>
      <c r="N25" s="43"/>
      <c r="O25" s="44"/>
      <c r="P25" s="43"/>
      <c r="Q25" s="44"/>
      <c r="R25" s="43">
        <v>1</v>
      </c>
      <c r="S25" s="44">
        <v>1</v>
      </c>
      <c r="T25" s="43">
        <v>1</v>
      </c>
      <c r="U25" s="44">
        <v>1</v>
      </c>
      <c r="V25" s="43"/>
      <c r="W25" s="44"/>
      <c r="X25" s="43"/>
      <c r="Y25" s="44"/>
      <c r="Z25" s="43"/>
      <c r="AA25" s="43"/>
      <c r="AB25" s="3">
        <v>1</v>
      </c>
    </row>
    <row r="26" spans="1:29" x14ac:dyDescent="0.25">
      <c r="A26" s="3" t="s">
        <v>41</v>
      </c>
      <c r="B26" s="43"/>
      <c r="C26" s="43"/>
      <c r="D26" s="43">
        <v>1</v>
      </c>
      <c r="E26" s="43">
        <v>1</v>
      </c>
      <c r="F26" s="43">
        <v>1</v>
      </c>
      <c r="G26" s="43">
        <v>1</v>
      </c>
      <c r="H26" s="43">
        <v>1</v>
      </c>
      <c r="I26" s="43">
        <v>1</v>
      </c>
      <c r="J26" s="43">
        <v>1</v>
      </c>
      <c r="K26" s="43">
        <v>1</v>
      </c>
      <c r="L26" s="42"/>
      <c r="M26" s="42"/>
      <c r="N26" s="43">
        <v>1</v>
      </c>
      <c r="O26" s="44">
        <v>1</v>
      </c>
      <c r="P26" s="43">
        <v>1</v>
      </c>
      <c r="Q26" s="44">
        <v>1</v>
      </c>
      <c r="R26" s="43">
        <v>1</v>
      </c>
      <c r="S26" s="44">
        <v>1</v>
      </c>
      <c r="T26" s="43">
        <v>1</v>
      </c>
      <c r="U26" s="44">
        <v>1</v>
      </c>
      <c r="V26" s="43">
        <v>1</v>
      </c>
      <c r="W26" s="44">
        <v>1</v>
      </c>
      <c r="X26" s="43"/>
      <c r="Y26" s="44"/>
      <c r="Z26" s="43">
        <v>1</v>
      </c>
      <c r="AA26" s="43">
        <v>1</v>
      </c>
      <c r="AC26" s="3">
        <v>1</v>
      </c>
    </row>
    <row r="27" spans="1:29" x14ac:dyDescent="0.25">
      <c r="A27" s="3" t="s">
        <v>42</v>
      </c>
      <c r="B27" s="43"/>
      <c r="C27" s="43"/>
      <c r="D27" s="43">
        <v>1</v>
      </c>
      <c r="E27" s="43">
        <v>1</v>
      </c>
      <c r="F27" s="43">
        <v>1</v>
      </c>
      <c r="G27" s="43">
        <v>1</v>
      </c>
      <c r="H27" s="43">
        <v>1</v>
      </c>
      <c r="I27" s="43">
        <v>1</v>
      </c>
      <c r="J27" s="43">
        <v>1</v>
      </c>
      <c r="K27" s="43">
        <v>1</v>
      </c>
      <c r="L27" s="42"/>
      <c r="M27" s="42"/>
      <c r="N27" s="43">
        <v>1</v>
      </c>
      <c r="O27" s="44">
        <v>1</v>
      </c>
      <c r="P27" s="43"/>
      <c r="Q27" s="44"/>
      <c r="R27" s="43">
        <v>1</v>
      </c>
      <c r="S27" s="44">
        <v>1</v>
      </c>
      <c r="T27" s="43">
        <v>1</v>
      </c>
      <c r="U27" s="44">
        <v>1</v>
      </c>
      <c r="V27" s="43">
        <v>1</v>
      </c>
      <c r="W27" s="44">
        <v>1</v>
      </c>
      <c r="X27" s="43"/>
      <c r="Y27" s="44"/>
      <c r="Z27" s="43"/>
      <c r="AA27" s="43"/>
    </row>
    <row r="28" spans="1:29" x14ac:dyDescent="0.25">
      <c r="A28" s="3" t="s">
        <v>93</v>
      </c>
      <c r="B28" s="43"/>
      <c r="C28" s="43"/>
      <c r="D28" s="43">
        <v>1</v>
      </c>
      <c r="E28" s="43">
        <v>1</v>
      </c>
      <c r="F28" s="43">
        <v>1</v>
      </c>
      <c r="G28" s="43">
        <v>1</v>
      </c>
      <c r="H28" s="43">
        <v>1</v>
      </c>
      <c r="I28" s="43">
        <v>1</v>
      </c>
      <c r="J28" s="43">
        <v>1</v>
      </c>
      <c r="K28" s="43">
        <v>1</v>
      </c>
      <c r="L28" s="42"/>
      <c r="M28" s="42"/>
      <c r="N28" s="43"/>
      <c r="O28" s="44"/>
      <c r="P28" s="43"/>
      <c r="Q28" s="44"/>
      <c r="R28" s="43"/>
      <c r="S28" s="44"/>
      <c r="T28" s="43">
        <v>1</v>
      </c>
      <c r="U28" s="44">
        <v>1</v>
      </c>
      <c r="V28" s="43"/>
      <c r="W28" s="44"/>
      <c r="X28" s="43">
        <v>1</v>
      </c>
      <c r="Y28" s="44">
        <v>1</v>
      </c>
      <c r="Z28" s="43">
        <v>1</v>
      </c>
      <c r="AA28" s="43">
        <v>1</v>
      </c>
      <c r="AB28" s="3">
        <v>1</v>
      </c>
      <c r="AC28" s="3">
        <v>1</v>
      </c>
    </row>
    <row r="29" spans="1:29" x14ac:dyDescent="0.25">
      <c r="A29" s="3" t="s">
        <v>44</v>
      </c>
      <c r="B29" s="43">
        <v>1</v>
      </c>
      <c r="C29" s="43">
        <v>1</v>
      </c>
      <c r="D29" s="43">
        <v>1</v>
      </c>
      <c r="E29" s="43">
        <v>1</v>
      </c>
      <c r="F29" s="43">
        <v>1</v>
      </c>
      <c r="G29" s="43">
        <v>1</v>
      </c>
      <c r="H29" s="43">
        <v>1</v>
      </c>
      <c r="I29" s="43">
        <v>1</v>
      </c>
      <c r="J29" s="43">
        <v>1</v>
      </c>
      <c r="K29" s="43">
        <v>1</v>
      </c>
      <c r="L29" s="42">
        <v>1</v>
      </c>
      <c r="M29" s="42">
        <v>1</v>
      </c>
      <c r="N29" s="43">
        <v>1</v>
      </c>
      <c r="O29" s="44">
        <v>1</v>
      </c>
      <c r="P29" s="43">
        <v>1</v>
      </c>
      <c r="Q29" s="44">
        <v>1</v>
      </c>
      <c r="R29" s="43">
        <v>1</v>
      </c>
      <c r="S29" s="44">
        <v>1</v>
      </c>
      <c r="T29" s="43">
        <v>1</v>
      </c>
      <c r="U29" s="44">
        <v>1</v>
      </c>
      <c r="V29" s="43">
        <v>1</v>
      </c>
      <c r="W29" s="44">
        <v>1</v>
      </c>
      <c r="X29" s="43">
        <v>1</v>
      </c>
      <c r="Y29" s="44">
        <v>1</v>
      </c>
      <c r="Z29" s="43">
        <v>1</v>
      </c>
      <c r="AA29" s="43">
        <v>1</v>
      </c>
    </row>
    <row r="30" spans="1:29" x14ac:dyDescent="0.25">
      <c r="A30" s="3" t="s">
        <v>80</v>
      </c>
      <c r="B30" s="43"/>
      <c r="C30" s="43"/>
      <c r="D30" s="43">
        <v>1</v>
      </c>
      <c r="E30" s="43">
        <v>1</v>
      </c>
      <c r="F30" s="43">
        <v>1</v>
      </c>
      <c r="G30" s="43">
        <v>1</v>
      </c>
      <c r="H30" s="43"/>
      <c r="I30" s="43"/>
      <c r="J30" s="43">
        <v>1</v>
      </c>
      <c r="K30" s="43">
        <v>1</v>
      </c>
      <c r="L30" s="42"/>
      <c r="M30" s="42"/>
      <c r="N30" s="43"/>
      <c r="O30" s="44"/>
      <c r="P30" s="43"/>
      <c r="Q30" s="44"/>
      <c r="R30" s="43"/>
      <c r="S30" s="44"/>
      <c r="T30" s="43">
        <v>1</v>
      </c>
      <c r="U30" s="44">
        <v>1</v>
      </c>
      <c r="V30" s="43"/>
      <c r="W30" s="44"/>
      <c r="X30" s="43"/>
      <c r="Y30" s="44"/>
      <c r="Z30" s="43">
        <v>1</v>
      </c>
      <c r="AA30" s="43">
        <v>1</v>
      </c>
      <c r="AB30" s="3">
        <v>1</v>
      </c>
      <c r="AC30" s="3">
        <v>1</v>
      </c>
    </row>
    <row r="31" spans="1:29" x14ac:dyDescent="0.25">
      <c r="A31" s="3" t="s">
        <v>81</v>
      </c>
      <c r="B31" s="43">
        <v>1</v>
      </c>
      <c r="C31" s="43">
        <v>1</v>
      </c>
      <c r="D31" s="43">
        <v>1</v>
      </c>
      <c r="E31" s="43">
        <v>1</v>
      </c>
      <c r="F31" s="43">
        <v>1</v>
      </c>
      <c r="G31" s="43">
        <v>1</v>
      </c>
      <c r="H31" s="43">
        <v>1</v>
      </c>
      <c r="I31" s="43">
        <v>1</v>
      </c>
      <c r="J31" s="43">
        <v>1</v>
      </c>
      <c r="K31" s="43">
        <v>1</v>
      </c>
      <c r="L31" s="42">
        <v>1</v>
      </c>
      <c r="M31" s="42">
        <v>1</v>
      </c>
      <c r="N31" s="43">
        <v>1</v>
      </c>
      <c r="O31" s="44">
        <v>1</v>
      </c>
      <c r="P31" s="43">
        <v>1</v>
      </c>
      <c r="Q31" s="44">
        <v>1</v>
      </c>
      <c r="R31" s="43">
        <v>1</v>
      </c>
      <c r="S31" s="44">
        <v>1</v>
      </c>
      <c r="T31" s="43">
        <v>1</v>
      </c>
      <c r="U31" s="44">
        <v>1</v>
      </c>
      <c r="V31" s="43">
        <v>1</v>
      </c>
      <c r="W31" s="44">
        <v>1</v>
      </c>
      <c r="X31" s="43">
        <v>1</v>
      </c>
      <c r="Y31" s="44">
        <v>1</v>
      </c>
      <c r="Z31" s="43">
        <v>1</v>
      </c>
      <c r="AA31" s="43">
        <v>1</v>
      </c>
      <c r="AB31" s="3">
        <v>1</v>
      </c>
      <c r="AC31" s="3">
        <v>1</v>
      </c>
    </row>
    <row r="32" spans="1:29" x14ac:dyDescent="0.25">
      <c r="A32" s="3" t="s">
        <v>82</v>
      </c>
      <c r="B32" s="43"/>
      <c r="C32" s="43"/>
      <c r="D32" s="43">
        <v>1</v>
      </c>
      <c r="E32" s="43">
        <v>1</v>
      </c>
      <c r="F32" s="43">
        <v>1</v>
      </c>
      <c r="G32" s="43">
        <v>1</v>
      </c>
      <c r="H32" s="43">
        <v>1</v>
      </c>
      <c r="I32" s="43">
        <v>1</v>
      </c>
      <c r="J32" s="43">
        <v>1</v>
      </c>
      <c r="K32" s="43">
        <v>1</v>
      </c>
      <c r="L32" s="42"/>
      <c r="M32" s="42"/>
      <c r="N32" s="43">
        <v>1</v>
      </c>
      <c r="O32" s="44">
        <v>1</v>
      </c>
      <c r="P32" s="43"/>
      <c r="Q32" s="44"/>
      <c r="R32" s="43"/>
      <c r="S32" s="44"/>
      <c r="T32" s="43">
        <v>1</v>
      </c>
      <c r="U32" s="44">
        <v>1</v>
      </c>
      <c r="V32" s="43">
        <v>1</v>
      </c>
      <c r="W32" s="44">
        <v>1</v>
      </c>
      <c r="X32" s="43"/>
      <c r="Y32" s="44"/>
      <c r="Z32" s="43">
        <v>1</v>
      </c>
      <c r="AA32" s="43">
        <v>1</v>
      </c>
    </row>
    <row r="33" spans="2:35" x14ac:dyDescent="0.25">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row>
    <row r="34" spans="2:35" x14ac:dyDescent="0.2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2:35" x14ac:dyDescent="0.2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row>
    <row r="36" spans="2:35" x14ac:dyDescent="0.2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2:35" x14ac:dyDescent="0.25">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35" x14ac:dyDescent="0.25">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1"/>
      <c r="AC38" s="41"/>
      <c r="AD38" s="41"/>
      <c r="AE38" s="41"/>
      <c r="AF38" s="41"/>
      <c r="AG38" s="41"/>
      <c r="AH38" s="41"/>
      <c r="AI38" s="41"/>
    </row>
    <row r="39" spans="2:35" x14ac:dyDescent="0.25">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2:35" x14ac:dyDescent="0.25">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2:35" x14ac:dyDescent="0.25">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2:35" x14ac:dyDescent="0.2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2:35" x14ac:dyDescent="0.25">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sheetData>
  <sheetProtection selectLockedCells="1" selectUnlockedCells="1"/>
  <mergeCells count="14">
    <mergeCell ref="L1:M1"/>
    <mergeCell ref="B1:C1"/>
    <mergeCell ref="D1:E1"/>
    <mergeCell ref="F1:G1"/>
    <mergeCell ref="H1:I1"/>
    <mergeCell ref="J1:K1"/>
    <mergeCell ref="AB1:AC1"/>
    <mergeCell ref="X1:Y1"/>
    <mergeCell ref="Z1:AA1"/>
    <mergeCell ref="N1:O1"/>
    <mergeCell ref="P1:Q1"/>
    <mergeCell ref="R1:S1"/>
    <mergeCell ref="T1:U1"/>
    <mergeCell ref="V1:W1"/>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2" tint="-0.89999084444715716"/>
  </sheetPr>
  <dimension ref="A1:AI43"/>
  <sheetViews>
    <sheetView zoomScale="85" zoomScaleNormal="85" workbookViewId="0">
      <selection activeCell="Z41" sqref="Z41"/>
    </sheetView>
  </sheetViews>
  <sheetFormatPr defaultRowHeight="15" x14ac:dyDescent="0.25"/>
  <cols>
    <col min="1" max="1" width="32.85546875" style="3" bestFit="1" customWidth="1"/>
    <col min="2" max="27" width="8" style="3" customWidth="1"/>
    <col min="28" max="16384" width="9.140625" style="3"/>
  </cols>
  <sheetData>
    <row r="1" spans="1:29" s="7" customFormat="1" ht="45.75" customHeight="1" x14ac:dyDescent="0.25">
      <c r="B1" s="187" t="s">
        <v>133</v>
      </c>
      <c r="C1" s="187"/>
      <c r="D1" s="187" t="s">
        <v>134</v>
      </c>
      <c r="E1" s="187"/>
      <c r="F1" s="187" t="s">
        <v>135</v>
      </c>
      <c r="G1" s="187"/>
      <c r="H1" s="187" t="s">
        <v>136</v>
      </c>
      <c r="I1" s="187"/>
      <c r="J1" s="187" t="s">
        <v>137</v>
      </c>
      <c r="K1" s="187"/>
      <c r="L1" s="187" t="s">
        <v>138</v>
      </c>
      <c r="M1" s="187"/>
      <c r="N1" s="187" t="s">
        <v>139</v>
      </c>
      <c r="O1" s="187"/>
      <c r="P1" s="187" t="s">
        <v>140</v>
      </c>
      <c r="Q1" s="187"/>
      <c r="R1" s="187" t="s">
        <v>141</v>
      </c>
      <c r="S1" s="187"/>
      <c r="T1" s="187" t="s">
        <v>142</v>
      </c>
      <c r="U1" s="187"/>
      <c r="V1" s="187" t="s">
        <v>143</v>
      </c>
      <c r="W1" s="187"/>
      <c r="X1" s="187" t="s">
        <v>144</v>
      </c>
      <c r="Y1" s="187"/>
      <c r="Z1" s="187" t="s">
        <v>150</v>
      </c>
      <c r="AA1" s="187"/>
      <c r="AB1" s="187" t="s">
        <v>193</v>
      </c>
      <c r="AC1" s="187"/>
    </row>
    <row r="2" spans="1:29" x14ac:dyDescent="0.25">
      <c r="A2" s="3" t="s">
        <v>48</v>
      </c>
      <c r="B2" s="3" t="s">
        <v>145</v>
      </c>
      <c r="C2" s="3" t="s">
        <v>146</v>
      </c>
      <c r="D2" s="3" t="s">
        <v>145</v>
      </c>
      <c r="E2" s="3" t="s">
        <v>146</v>
      </c>
      <c r="F2" s="3" t="s">
        <v>145</v>
      </c>
      <c r="G2" s="3" t="s">
        <v>146</v>
      </c>
      <c r="H2" s="3" t="s">
        <v>145</v>
      </c>
      <c r="I2" s="3" t="s">
        <v>146</v>
      </c>
      <c r="J2" s="3" t="s">
        <v>145</v>
      </c>
      <c r="K2" s="3" t="s">
        <v>146</v>
      </c>
      <c r="L2" s="3" t="s">
        <v>145</v>
      </c>
      <c r="M2" s="3" t="s">
        <v>146</v>
      </c>
      <c r="N2" s="3" t="s">
        <v>145</v>
      </c>
      <c r="O2" s="3" t="s">
        <v>146</v>
      </c>
      <c r="P2" s="3" t="s">
        <v>145</v>
      </c>
      <c r="Q2" s="3" t="s">
        <v>146</v>
      </c>
      <c r="R2" s="3" t="s">
        <v>145</v>
      </c>
      <c r="S2" s="3" t="s">
        <v>146</v>
      </c>
      <c r="T2" s="3" t="s">
        <v>145</v>
      </c>
      <c r="U2" s="3" t="s">
        <v>146</v>
      </c>
      <c r="V2" s="3" t="s">
        <v>145</v>
      </c>
      <c r="W2" s="3" t="s">
        <v>146</v>
      </c>
      <c r="X2" s="3" t="s">
        <v>145</v>
      </c>
      <c r="Y2" s="3" t="s">
        <v>146</v>
      </c>
      <c r="Z2" s="3" t="s">
        <v>145</v>
      </c>
      <c r="AA2" s="3" t="s">
        <v>146</v>
      </c>
    </row>
    <row r="3" spans="1:29" x14ac:dyDescent="0.25">
      <c r="A3" s="3" t="s">
        <v>87</v>
      </c>
      <c r="B3" s="45"/>
      <c r="C3" s="45"/>
      <c r="D3" s="43">
        <v>2</v>
      </c>
      <c r="E3" s="43">
        <v>1</v>
      </c>
      <c r="F3" s="42">
        <v>2</v>
      </c>
      <c r="G3" s="42">
        <v>2</v>
      </c>
      <c r="H3" s="43">
        <v>2</v>
      </c>
      <c r="I3" s="43">
        <v>2</v>
      </c>
      <c r="J3" s="43">
        <v>2</v>
      </c>
      <c r="K3" s="43">
        <v>2</v>
      </c>
      <c r="L3" s="42"/>
      <c r="M3" s="42"/>
      <c r="N3" s="43"/>
      <c r="O3" s="44">
        <v>1</v>
      </c>
      <c r="P3" s="43"/>
      <c r="Q3" s="44"/>
      <c r="R3" s="42">
        <v>2</v>
      </c>
      <c r="S3" s="44">
        <v>1</v>
      </c>
      <c r="T3" s="42">
        <v>2</v>
      </c>
      <c r="U3" s="44">
        <v>2</v>
      </c>
      <c r="V3" s="43"/>
      <c r="W3" s="44">
        <v>1</v>
      </c>
      <c r="X3" s="43"/>
      <c r="Y3" s="44"/>
      <c r="Z3" s="43">
        <v>1</v>
      </c>
      <c r="AA3" s="43">
        <v>1</v>
      </c>
    </row>
    <row r="4" spans="1:29" x14ac:dyDescent="0.25">
      <c r="A4" s="3" t="s">
        <v>19</v>
      </c>
      <c r="B4" s="43"/>
      <c r="C4" s="43"/>
      <c r="D4" s="43">
        <v>2</v>
      </c>
      <c r="E4" s="43">
        <v>1</v>
      </c>
      <c r="F4" s="43">
        <v>1</v>
      </c>
      <c r="G4" s="43">
        <v>1</v>
      </c>
      <c r="H4" s="43">
        <v>2</v>
      </c>
      <c r="I4" s="43"/>
      <c r="J4" s="43">
        <v>1</v>
      </c>
      <c r="K4" s="43">
        <v>2</v>
      </c>
      <c r="L4" s="42"/>
      <c r="M4" s="42"/>
      <c r="N4" s="43"/>
      <c r="O4" s="44"/>
      <c r="P4" s="43"/>
      <c r="Q4" s="44"/>
      <c r="R4" s="43">
        <v>2</v>
      </c>
      <c r="S4" s="44">
        <v>2</v>
      </c>
      <c r="T4" s="43">
        <v>1</v>
      </c>
      <c r="U4" s="44">
        <v>1</v>
      </c>
      <c r="V4" s="43"/>
      <c r="W4" s="44"/>
      <c r="X4" s="43"/>
      <c r="Y4" s="44"/>
      <c r="Z4" s="43">
        <v>1</v>
      </c>
      <c r="AA4" s="43">
        <v>2</v>
      </c>
      <c r="AB4" s="3">
        <v>3</v>
      </c>
      <c r="AC4" s="3">
        <v>2</v>
      </c>
    </row>
    <row r="5" spans="1:29" x14ac:dyDescent="0.25">
      <c r="A5" s="3" t="s">
        <v>20</v>
      </c>
      <c r="B5" s="43"/>
      <c r="C5" s="43">
        <v>2</v>
      </c>
      <c r="D5" s="43">
        <v>1</v>
      </c>
      <c r="E5" s="43">
        <v>1</v>
      </c>
      <c r="F5" s="43">
        <v>3</v>
      </c>
      <c r="G5" s="43">
        <v>3</v>
      </c>
      <c r="H5" s="43">
        <v>3</v>
      </c>
      <c r="I5" s="43">
        <v>3</v>
      </c>
      <c r="J5" s="43">
        <v>3</v>
      </c>
      <c r="K5" s="43">
        <v>3</v>
      </c>
      <c r="L5" s="43">
        <v>3</v>
      </c>
      <c r="M5" s="43">
        <v>2</v>
      </c>
      <c r="N5" s="43">
        <v>2</v>
      </c>
      <c r="O5" s="44">
        <v>2</v>
      </c>
      <c r="P5" s="43">
        <v>2</v>
      </c>
      <c r="Q5" s="44">
        <v>2</v>
      </c>
      <c r="R5" s="43">
        <v>1</v>
      </c>
      <c r="S5" s="44">
        <v>1</v>
      </c>
      <c r="T5" s="43">
        <v>2.5</v>
      </c>
      <c r="U5" s="44">
        <v>3</v>
      </c>
      <c r="V5" s="43">
        <v>3</v>
      </c>
      <c r="W5" s="44">
        <v>2</v>
      </c>
      <c r="X5" s="43"/>
      <c r="Y5" s="44"/>
      <c r="Z5" s="43"/>
      <c r="AA5" s="43"/>
    </row>
    <row r="6" spans="1:29" x14ac:dyDescent="0.25">
      <c r="A6" s="3" t="s">
        <v>21</v>
      </c>
      <c r="B6" s="43"/>
      <c r="C6" s="43"/>
      <c r="D6" s="43"/>
      <c r="E6" s="43"/>
      <c r="F6" s="43"/>
      <c r="G6" s="43">
        <v>2</v>
      </c>
      <c r="H6" s="43"/>
      <c r="I6" s="43">
        <v>2</v>
      </c>
      <c r="J6" s="43"/>
      <c r="K6" s="43">
        <v>2</v>
      </c>
      <c r="L6" s="42"/>
      <c r="M6" s="42"/>
      <c r="N6" s="43"/>
      <c r="O6" s="44">
        <v>1</v>
      </c>
      <c r="P6" s="43"/>
      <c r="Q6" s="44"/>
      <c r="R6" s="43"/>
      <c r="S6" s="44">
        <v>1</v>
      </c>
      <c r="T6" s="43"/>
      <c r="U6" s="44">
        <v>1</v>
      </c>
      <c r="V6" s="43"/>
      <c r="W6" s="44">
        <v>1</v>
      </c>
      <c r="X6" s="43"/>
      <c r="Y6" s="44"/>
      <c r="Z6" s="43"/>
      <c r="AA6" s="43">
        <v>1</v>
      </c>
      <c r="AB6" s="3">
        <v>3</v>
      </c>
      <c r="AC6" s="3">
        <v>1</v>
      </c>
    </row>
    <row r="7" spans="1:29" x14ac:dyDescent="0.25">
      <c r="A7" s="3" t="s">
        <v>22</v>
      </c>
      <c r="B7" s="43">
        <v>3</v>
      </c>
      <c r="C7" s="43">
        <v>2</v>
      </c>
      <c r="D7" s="43">
        <v>1</v>
      </c>
      <c r="E7" s="43"/>
      <c r="F7" s="43">
        <v>3</v>
      </c>
      <c r="G7" s="43">
        <v>1</v>
      </c>
      <c r="H7" s="43">
        <v>3</v>
      </c>
      <c r="I7" s="43">
        <v>1</v>
      </c>
      <c r="J7" s="43">
        <v>3</v>
      </c>
      <c r="K7" s="43">
        <v>3</v>
      </c>
      <c r="L7" s="42">
        <v>2</v>
      </c>
      <c r="M7" s="42">
        <v>2</v>
      </c>
      <c r="N7" s="43">
        <v>3</v>
      </c>
      <c r="O7" s="44">
        <v>2</v>
      </c>
      <c r="P7" s="43">
        <v>3</v>
      </c>
      <c r="Q7" s="44">
        <v>2</v>
      </c>
      <c r="R7" s="43">
        <v>1</v>
      </c>
      <c r="S7" s="44">
        <v>2</v>
      </c>
      <c r="T7" s="43">
        <v>2</v>
      </c>
      <c r="U7" s="44">
        <v>2</v>
      </c>
      <c r="V7" s="43">
        <v>3</v>
      </c>
      <c r="W7" s="44">
        <v>2</v>
      </c>
      <c r="X7" s="43"/>
      <c r="Y7" s="44"/>
      <c r="Z7" s="43"/>
      <c r="AA7" s="43"/>
    </row>
    <row r="8" spans="1:29" x14ac:dyDescent="0.25">
      <c r="A8" s="3" t="s">
        <v>23</v>
      </c>
      <c r="B8" s="43"/>
      <c r="C8" s="43"/>
      <c r="D8" s="43"/>
      <c r="E8" s="43"/>
      <c r="F8" s="43">
        <v>2</v>
      </c>
      <c r="G8" s="43">
        <v>2</v>
      </c>
      <c r="H8" s="43">
        <v>3</v>
      </c>
      <c r="I8" s="43">
        <v>2</v>
      </c>
      <c r="J8" s="43">
        <v>2</v>
      </c>
      <c r="K8" s="43">
        <v>2</v>
      </c>
      <c r="L8" s="42"/>
      <c r="M8" s="42"/>
      <c r="N8" s="43"/>
      <c r="O8" s="44">
        <v>1</v>
      </c>
      <c r="P8" s="43"/>
      <c r="Q8" s="44"/>
      <c r="R8" s="43"/>
      <c r="S8" s="44"/>
      <c r="T8" s="43">
        <v>1</v>
      </c>
      <c r="U8" s="44">
        <v>2</v>
      </c>
      <c r="V8" s="43"/>
      <c r="W8" s="44">
        <v>1</v>
      </c>
      <c r="X8" s="43"/>
      <c r="Y8" s="44"/>
      <c r="Z8" s="43">
        <v>2</v>
      </c>
      <c r="AA8" s="43">
        <v>2</v>
      </c>
    </row>
    <row r="9" spans="1:29" x14ac:dyDescent="0.25">
      <c r="A9" s="3" t="s">
        <v>88</v>
      </c>
      <c r="B9" s="43"/>
      <c r="C9" s="43"/>
      <c r="D9" s="43">
        <v>1.5</v>
      </c>
      <c r="E9" s="43">
        <v>1</v>
      </c>
      <c r="F9" s="43">
        <v>2</v>
      </c>
      <c r="G9" s="43">
        <v>2</v>
      </c>
      <c r="H9" s="43">
        <v>1.5</v>
      </c>
      <c r="I9" s="43">
        <v>1</v>
      </c>
      <c r="J9" s="43">
        <v>3</v>
      </c>
      <c r="K9" s="43"/>
      <c r="L9" s="42"/>
      <c r="M9" s="42"/>
      <c r="N9" s="43">
        <v>1</v>
      </c>
      <c r="O9" s="44">
        <v>1</v>
      </c>
      <c r="P9" s="43"/>
      <c r="Q9" s="44"/>
      <c r="R9" s="43">
        <v>1</v>
      </c>
      <c r="S9" s="44">
        <v>1</v>
      </c>
      <c r="T9" s="43">
        <v>2.5</v>
      </c>
      <c r="U9" s="44">
        <v>2</v>
      </c>
      <c r="V9" s="43">
        <v>1</v>
      </c>
      <c r="W9" s="44">
        <v>1</v>
      </c>
      <c r="X9" s="43">
        <v>3</v>
      </c>
      <c r="Y9" s="44"/>
      <c r="Z9" s="43">
        <v>3</v>
      </c>
      <c r="AA9" s="43"/>
    </row>
    <row r="10" spans="1:29" x14ac:dyDescent="0.25">
      <c r="A10" s="3" t="s">
        <v>89</v>
      </c>
      <c r="B10" s="43"/>
      <c r="C10" s="43"/>
      <c r="D10" s="43"/>
      <c r="E10" s="43"/>
      <c r="F10" s="43">
        <v>2</v>
      </c>
      <c r="G10" s="43"/>
      <c r="H10" s="43"/>
      <c r="I10" s="43"/>
      <c r="J10" s="43">
        <v>2</v>
      </c>
      <c r="K10" s="43"/>
      <c r="L10" s="42"/>
      <c r="M10" s="42"/>
      <c r="N10" s="43"/>
      <c r="O10" s="44">
        <v>2</v>
      </c>
      <c r="P10" s="43"/>
      <c r="Q10" s="44"/>
      <c r="R10" s="43"/>
      <c r="S10" s="44"/>
      <c r="T10" s="43"/>
      <c r="U10" s="44"/>
      <c r="V10" s="43"/>
      <c r="W10" s="44">
        <v>1</v>
      </c>
      <c r="X10" s="43"/>
      <c r="Y10" s="44"/>
      <c r="Z10" s="43"/>
      <c r="AA10" s="43"/>
      <c r="AC10" s="3">
        <v>1</v>
      </c>
    </row>
    <row r="11" spans="1:29" x14ac:dyDescent="0.25">
      <c r="A11" s="3" t="s">
        <v>26</v>
      </c>
      <c r="B11" s="43">
        <v>2</v>
      </c>
      <c r="C11" s="43">
        <v>1</v>
      </c>
      <c r="D11" s="43"/>
      <c r="E11" s="43">
        <v>1</v>
      </c>
      <c r="F11" s="43">
        <v>3</v>
      </c>
      <c r="G11" s="43">
        <v>3</v>
      </c>
      <c r="H11" s="43">
        <v>2</v>
      </c>
      <c r="I11" s="43">
        <v>1</v>
      </c>
      <c r="J11" s="43">
        <v>2</v>
      </c>
      <c r="K11" s="43">
        <v>2</v>
      </c>
      <c r="L11" s="42"/>
      <c r="M11" s="42"/>
      <c r="N11" s="43">
        <v>2</v>
      </c>
      <c r="O11" s="44">
        <v>1</v>
      </c>
      <c r="P11" s="43">
        <v>1</v>
      </c>
      <c r="Q11" s="44">
        <v>1</v>
      </c>
      <c r="R11" s="43"/>
      <c r="S11" s="44">
        <v>1</v>
      </c>
      <c r="T11" s="43">
        <v>3</v>
      </c>
      <c r="U11" s="44">
        <v>2</v>
      </c>
      <c r="V11" s="43">
        <v>1</v>
      </c>
      <c r="W11" s="44">
        <v>1</v>
      </c>
      <c r="X11" s="43"/>
      <c r="Y11" s="44"/>
      <c r="Z11" s="43"/>
      <c r="AA11" s="43"/>
      <c r="AC11" s="3">
        <v>1</v>
      </c>
    </row>
    <row r="12" spans="1:29" x14ac:dyDescent="0.25">
      <c r="A12" s="3" t="s">
        <v>27</v>
      </c>
      <c r="B12" s="43">
        <v>1</v>
      </c>
      <c r="C12" s="43">
        <v>1</v>
      </c>
      <c r="D12" s="43">
        <v>2</v>
      </c>
      <c r="E12" s="43">
        <v>1</v>
      </c>
      <c r="F12" s="43">
        <v>2</v>
      </c>
      <c r="G12" s="43">
        <v>2</v>
      </c>
      <c r="H12" s="43">
        <v>2</v>
      </c>
      <c r="I12" s="43">
        <v>1</v>
      </c>
      <c r="J12" s="43">
        <v>2</v>
      </c>
      <c r="K12" s="43">
        <v>3</v>
      </c>
      <c r="L12" s="42">
        <v>2</v>
      </c>
      <c r="M12" s="42"/>
      <c r="N12" s="43">
        <v>2</v>
      </c>
      <c r="O12" s="44">
        <v>2</v>
      </c>
      <c r="P12" s="43">
        <v>2</v>
      </c>
      <c r="Q12" s="44">
        <v>2</v>
      </c>
      <c r="R12" s="43"/>
      <c r="S12" s="44">
        <v>1</v>
      </c>
      <c r="T12" s="43">
        <v>1</v>
      </c>
      <c r="U12" s="44">
        <v>1</v>
      </c>
      <c r="V12" s="43"/>
      <c r="W12" s="44">
        <v>1</v>
      </c>
      <c r="X12" s="43"/>
      <c r="Y12" s="44"/>
      <c r="Z12" s="43"/>
      <c r="AA12" s="43"/>
    </row>
    <row r="13" spans="1:29" x14ac:dyDescent="0.25">
      <c r="A13" s="3" t="s">
        <v>28</v>
      </c>
      <c r="B13" s="43"/>
      <c r="C13" s="43"/>
      <c r="D13" s="43"/>
      <c r="E13" s="43">
        <v>1</v>
      </c>
      <c r="F13" s="43">
        <v>1</v>
      </c>
      <c r="G13" s="43">
        <v>1</v>
      </c>
      <c r="H13" s="43"/>
      <c r="I13" s="43">
        <v>2</v>
      </c>
      <c r="J13" s="43">
        <v>2</v>
      </c>
      <c r="K13" s="43">
        <v>2</v>
      </c>
      <c r="L13" s="42"/>
      <c r="M13" s="42"/>
      <c r="N13" s="43"/>
      <c r="O13" s="44"/>
      <c r="P13" s="43"/>
      <c r="Q13" s="44"/>
      <c r="R13" s="43">
        <v>2</v>
      </c>
      <c r="S13" s="44">
        <v>1</v>
      </c>
      <c r="T13" s="43">
        <v>2</v>
      </c>
      <c r="U13" s="44">
        <v>1</v>
      </c>
      <c r="V13" s="43"/>
      <c r="W13" s="44">
        <v>1</v>
      </c>
      <c r="X13" s="43"/>
      <c r="Y13" s="44"/>
      <c r="Z13" s="43">
        <v>1</v>
      </c>
      <c r="AA13" s="43">
        <v>2</v>
      </c>
    </row>
    <row r="14" spans="1:29" x14ac:dyDescent="0.25">
      <c r="A14" s="3" t="s">
        <v>29</v>
      </c>
      <c r="B14" s="43">
        <v>2</v>
      </c>
      <c r="C14" s="43"/>
      <c r="D14" s="43"/>
      <c r="E14" s="43"/>
      <c r="F14" s="43">
        <v>2</v>
      </c>
      <c r="G14" s="43"/>
      <c r="H14" s="43"/>
      <c r="I14" s="43"/>
      <c r="J14" s="43">
        <v>2</v>
      </c>
      <c r="K14" s="43"/>
      <c r="L14" s="42">
        <v>2</v>
      </c>
      <c r="M14" s="42"/>
      <c r="N14" s="43"/>
      <c r="O14" s="44"/>
      <c r="P14" s="43"/>
      <c r="Q14" s="44"/>
      <c r="R14" s="43"/>
      <c r="S14" s="44"/>
      <c r="T14" s="43">
        <v>3</v>
      </c>
      <c r="U14" s="44"/>
      <c r="V14" s="43"/>
      <c r="W14" s="44"/>
      <c r="X14" s="43"/>
      <c r="Y14" s="44"/>
      <c r="Z14" s="43">
        <v>2</v>
      </c>
      <c r="AA14" s="43"/>
    </row>
    <row r="15" spans="1:29" x14ac:dyDescent="0.25">
      <c r="A15" s="3" t="s">
        <v>30</v>
      </c>
      <c r="B15" s="43"/>
      <c r="C15" s="43"/>
      <c r="D15" s="43"/>
      <c r="E15" s="43"/>
      <c r="F15" s="43">
        <v>1</v>
      </c>
      <c r="G15" s="43">
        <v>1</v>
      </c>
      <c r="H15" s="43"/>
      <c r="I15" s="43">
        <v>1</v>
      </c>
      <c r="J15" s="43">
        <v>1</v>
      </c>
      <c r="K15" s="43">
        <v>2</v>
      </c>
      <c r="L15" s="42"/>
      <c r="M15" s="42"/>
      <c r="N15" s="43"/>
      <c r="O15" s="44">
        <v>1</v>
      </c>
      <c r="P15" s="43"/>
      <c r="Q15" s="44"/>
      <c r="R15" s="43"/>
      <c r="S15" s="44"/>
      <c r="T15" s="43">
        <v>1</v>
      </c>
      <c r="U15" s="44">
        <v>2</v>
      </c>
      <c r="V15" s="43"/>
      <c r="W15" s="44">
        <v>1</v>
      </c>
      <c r="X15" s="43"/>
      <c r="Y15" s="44"/>
      <c r="Z15" s="43">
        <v>2</v>
      </c>
      <c r="AA15" s="43">
        <v>2</v>
      </c>
    </row>
    <row r="16" spans="1:29" x14ac:dyDescent="0.25">
      <c r="A16" s="3" t="s">
        <v>90</v>
      </c>
      <c r="B16" s="43"/>
      <c r="C16" s="43"/>
      <c r="D16" s="43" t="s">
        <v>152</v>
      </c>
      <c r="E16" s="43"/>
      <c r="F16" s="43">
        <v>2</v>
      </c>
      <c r="G16" s="43"/>
      <c r="H16" s="43"/>
      <c r="I16" s="43"/>
      <c r="J16" s="43">
        <v>2</v>
      </c>
      <c r="K16" s="43"/>
      <c r="L16" s="42"/>
      <c r="M16" s="42"/>
      <c r="N16" s="43"/>
      <c r="O16" s="44"/>
      <c r="P16" s="43"/>
      <c r="Q16" s="44"/>
      <c r="R16" s="43">
        <v>1</v>
      </c>
      <c r="S16" s="44"/>
      <c r="T16" s="43">
        <v>1</v>
      </c>
      <c r="U16" s="44"/>
      <c r="V16" s="43"/>
      <c r="W16" s="44"/>
      <c r="X16" s="43"/>
      <c r="Y16" s="44"/>
      <c r="Z16" s="43">
        <v>2</v>
      </c>
      <c r="AA16" s="43"/>
    </row>
    <row r="17" spans="1:29" x14ac:dyDescent="0.25">
      <c r="A17" s="3" t="s">
        <v>91</v>
      </c>
      <c r="B17" s="43"/>
      <c r="C17" s="43"/>
      <c r="D17" s="43"/>
      <c r="E17" s="43">
        <v>1</v>
      </c>
      <c r="F17" s="43">
        <v>2</v>
      </c>
      <c r="G17" s="43">
        <v>2</v>
      </c>
      <c r="H17" s="43"/>
      <c r="I17" s="43">
        <v>1</v>
      </c>
      <c r="J17" s="43"/>
      <c r="K17" s="43"/>
      <c r="L17" s="42"/>
      <c r="M17" s="42"/>
      <c r="N17" s="43"/>
      <c r="O17" s="44"/>
      <c r="P17" s="43"/>
      <c r="Q17" s="44"/>
      <c r="R17" s="43"/>
      <c r="S17" s="44"/>
      <c r="T17" s="43">
        <v>1</v>
      </c>
      <c r="U17" s="44">
        <v>2</v>
      </c>
      <c r="V17" s="43"/>
      <c r="W17" s="44"/>
      <c r="X17" s="43">
        <v>1</v>
      </c>
      <c r="Y17" s="44"/>
      <c r="Z17" s="43">
        <v>3</v>
      </c>
      <c r="AA17" s="43">
        <v>2</v>
      </c>
      <c r="AB17" s="3">
        <v>3</v>
      </c>
      <c r="AC17" s="3">
        <v>1</v>
      </c>
    </row>
    <row r="18" spans="1:29" x14ac:dyDescent="0.25">
      <c r="A18" s="3" t="s">
        <v>33</v>
      </c>
      <c r="B18" s="43">
        <v>2</v>
      </c>
      <c r="C18" s="43">
        <v>2</v>
      </c>
      <c r="D18" s="43"/>
      <c r="E18" s="43">
        <v>1</v>
      </c>
      <c r="F18" s="43">
        <v>3</v>
      </c>
      <c r="G18" s="43">
        <v>3</v>
      </c>
      <c r="H18" s="43">
        <v>3</v>
      </c>
      <c r="I18" s="43">
        <v>3</v>
      </c>
      <c r="J18" s="43">
        <v>3</v>
      </c>
      <c r="K18" s="43">
        <v>3</v>
      </c>
      <c r="L18" s="42">
        <v>3</v>
      </c>
      <c r="M18" s="42">
        <v>2</v>
      </c>
      <c r="N18" s="43">
        <v>3</v>
      </c>
      <c r="O18" s="44">
        <v>2</v>
      </c>
      <c r="P18" s="43">
        <v>3</v>
      </c>
      <c r="Q18" s="44">
        <v>2</v>
      </c>
      <c r="R18" s="43">
        <v>1</v>
      </c>
      <c r="S18" s="44">
        <v>2</v>
      </c>
      <c r="T18" s="43">
        <v>2</v>
      </c>
      <c r="U18" s="44">
        <v>2</v>
      </c>
      <c r="V18" s="43">
        <v>3</v>
      </c>
      <c r="W18" s="44">
        <v>2</v>
      </c>
      <c r="X18" s="43"/>
      <c r="Y18" s="44"/>
      <c r="Z18" s="43"/>
      <c r="AA18" s="43"/>
    </row>
    <row r="19" spans="1:29" x14ac:dyDescent="0.25">
      <c r="A19" s="3" t="s">
        <v>34</v>
      </c>
      <c r="B19" s="43">
        <v>2</v>
      </c>
      <c r="C19" s="43">
        <v>3</v>
      </c>
      <c r="D19" s="43"/>
      <c r="E19" s="43">
        <v>1</v>
      </c>
      <c r="F19" s="43">
        <v>3</v>
      </c>
      <c r="G19" s="43">
        <v>2</v>
      </c>
      <c r="H19" s="43">
        <v>3</v>
      </c>
      <c r="I19" s="43">
        <v>1</v>
      </c>
      <c r="J19" s="43">
        <v>3</v>
      </c>
      <c r="K19" s="43"/>
      <c r="L19" s="42"/>
      <c r="M19" s="42"/>
      <c r="N19" s="43">
        <v>2</v>
      </c>
      <c r="O19" s="44">
        <v>2</v>
      </c>
      <c r="P19" s="43">
        <v>2</v>
      </c>
      <c r="Q19" s="44"/>
      <c r="R19" s="43">
        <v>2</v>
      </c>
      <c r="S19" s="44">
        <v>1</v>
      </c>
      <c r="T19" s="43">
        <v>3</v>
      </c>
      <c r="U19" s="44">
        <v>3</v>
      </c>
      <c r="V19" s="43">
        <v>3</v>
      </c>
      <c r="W19" s="44">
        <v>1</v>
      </c>
      <c r="X19" s="43"/>
      <c r="Y19" s="44"/>
      <c r="Z19" s="43">
        <v>1</v>
      </c>
      <c r="AA19" s="43">
        <v>1</v>
      </c>
    </row>
    <row r="20" spans="1:29" x14ac:dyDescent="0.25">
      <c r="A20" s="3" t="s">
        <v>92</v>
      </c>
      <c r="B20" s="43"/>
      <c r="C20" s="43"/>
      <c r="D20" s="43"/>
      <c r="E20" s="43"/>
      <c r="F20" s="43">
        <v>1</v>
      </c>
      <c r="G20" s="43">
        <v>1</v>
      </c>
      <c r="H20" s="43">
        <v>2</v>
      </c>
      <c r="I20" s="43">
        <v>2</v>
      </c>
      <c r="J20" s="43">
        <v>1</v>
      </c>
      <c r="K20" s="43">
        <v>1</v>
      </c>
      <c r="L20" s="42"/>
      <c r="M20" s="42"/>
      <c r="N20" s="43"/>
      <c r="O20" s="44"/>
      <c r="P20" s="43"/>
      <c r="Q20" s="44"/>
      <c r="R20" s="43"/>
      <c r="S20" s="44"/>
      <c r="T20" s="43">
        <v>1</v>
      </c>
      <c r="U20" s="44">
        <v>2</v>
      </c>
      <c r="V20" s="43"/>
      <c r="W20" s="44"/>
      <c r="X20" s="43">
        <v>3</v>
      </c>
      <c r="Y20" s="44"/>
      <c r="Z20" s="43">
        <v>3</v>
      </c>
      <c r="AA20" s="43">
        <v>2</v>
      </c>
    </row>
    <row r="21" spans="1:29" x14ac:dyDescent="0.25">
      <c r="A21" s="3" t="s">
        <v>36</v>
      </c>
      <c r="B21" s="43">
        <v>3</v>
      </c>
      <c r="C21" s="43">
        <v>2</v>
      </c>
      <c r="D21" s="43"/>
      <c r="E21" s="43">
        <v>1</v>
      </c>
      <c r="F21" s="43">
        <v>2</v>
      </c>
      <c r="G21" s="43">
        <v>2</v>
      </c>
      <c r="H21" s="43">
        <v>3</v>
      </c>
      <c r="I21" s="43">
        <v>2</v>
      </c>
      <c r="J21" s="43">
        <v>3</v>
      </c>
      <c r="K21" s="43">
        <v>2</v>
      </c>
      <c r="L21" s="42">
        <v>2</v>
      </c>
      <c r="M21" s="42"/>
      <c r="N21" s="43">
        <v>2</v>
      </c>
      <c r="O21" s="44">
        <v>2</v>
      </c>
      <c r="P21" s="43"/>
      <c r="Q21" s="44"/>
      <c r="R21" s="43">
        <v>2</v>
      </c>
      <c r="S21" s="44">
        <v>2</v>
      </c>
      <c r="T21" s="43">
        <v>3</v>
      </c>
      <c r="U21" s="44">
        <v>2</v>
      </c>
      <c r="V21" s="43">
        <v>2</v>
      </c>
      <c r="W21" s="44">
        <v>2</v>
      </c>
      <c r="X21" s="43"/>
      <c r="Y21" s="44"/>
      <c r="Z21" s="43">
        <v>2</v>
      </c>
      <c r="AA21" s="43"/>
      <c r="AC21" s="3">
        <v>3</v>
      </c>
    </row>
    <row r="22" spans="1:29" x14ac:dyDescent="0.25">
      <c r="A22" s="3" t="s">
        <v>37</v>
      </c>
      <c r="B22" s="43"/>
      <c r="C22" s="43"/>
      <c r="D22" s="43"/>
      <c r="E22" s="43">
        <v>1</v>
      </c>
      <c r="F22" s="43">
        <v>3</v>
      </c>
      <c r="G22" s="43">
        <v>2</v>
      </c>
      <c r="H22" s="43"/>
      <c r="I22" s="43"/>
      <c r="J22" s="43">
        <v>3</v>
      </c>
      <c r="K22" s="43">
        <v>2</v>
      </c>
      <c r="L22" s="42"/>
      <c r="M22" s="42"/>
      <c r="N22" s="43">
        <v>3</v>
      </c>
      <c r="O22" s="44">
        <v>2</v>
      </c>
      <c r="P22" s="43"/>
      <c r="Q22" s="44"/>
      <c r="R22" s="43">
        <v>3</v>
      </c>
      <c r="S22" s="44">
        <v>3</v>
      </c>
      <c r="T22" s="43">
        <v>3</v>
      </c>
      <c r="U22" s="44">
        <v>3</v>
      </c>
      <c r="V22" s="43">
        <v>3</v>
      </c>
      <c r="W22" s="44">
        <v>2</v>
      </c>
      <c r="X22" s="43"/>
      <c r="Y22" s="44"/>
      <c r="Z22" s="43"/>
      <c r="AA22" s="43"/>
      <c r="AB22" s="3">
        <v>2</v>
      </c>
      <c r="AC22" s="3">
        <v>3</v>
      </c>
    </row>
    <row r="23" spans="1:29" x14ac:dyDescent="0.25">
      <c r="A23" s="3" t="s">
        <v>38</v>
      </c>
      <c r="B23" s="43"/>
      <c r="C23" s="43"/>
      <c r="D23" s="43">
        <v>1</v>
      </c>
      <c r="E23" s="43">
        <v>1</v>
      </c>
      <c r="F23" s="43">
        <v>2</v>
      </c>
      <c r="G23" s="43">
        <v>2</v>
      </c>
      <c r="H23" s="43"/>
      <c r="I23" s="43"/>
      <c r="J23" s="43">
        <v>1</v>
      </c>
      <c r="K23" s="43">
        <v>1</v>
      </c>
      <c r="L23" s="42"/>
      <c r="M23" s="42"/>
      <c r="N23" s="43"/>
      <c r="O23" s="44">
        <v>2</v>
      </c>
      <c r="P23" s="43"/>
      <c r="Q23" s="44"/>
      <c r="R23" s="43">
        <v>3</v>
      </c>
      <c r="S23" s="44">
        <v>2</v>
      </c>
      <c r="T23" s="43">
        <v>2</v>
      </c>
      <c r="U23" s="44">
        <v>2</v>
      </c>
      <c r="V23" s="43"/>
      <c r="W23" s="44">
        <v>3</v>
      </c>
      <c r="X23" s="43"/>
      <c r="Y23" s="44"/>
      <c r="Z23" s="43">
        <v>1</v>
      </c>
      <c r="AA23" s="43">
        <v>1</v>
      </c>
      <c r="AB23" s="3">
        <v>2</v>
      </c>
    </row>
    <row r="24" spans="1:29" x14ac:dyDescent="0.25">
      <c r="A24" s="3" t="s">
        <v>39</v>
      </c>
      <c r="B24" s="43">
        <v>1</v>
      </c>
      <c r="C24" s="43">
        <v>3</v>
      </c>
      <c r="D24" s="43">
        <v>1</v>
      </c>
      <c r="E24" s="43">
        <v>1</v>
      </c>
      <c r="F24" s="43">
        <v>3</v>
      </c>
      <c r="G24" s="43">
        <v>3</v>
      </c>
      <c r="H24" s="43">
        <v>2</v>
      </c>
      <c r="I24" s="43">
        <v>1</v>
      </c>
      <c r="J24" s="43">
        <v>3</v>
      </c>
      <c r="K24" s="43">
        <v>2</v>
      </c>
      <c r="L24" s="42"/>
      <c r="M24" s="42"/>
      <c r="N24" s="43">
        <v>2</v>
      </c>
      <c r="O24" s="44">
        <v>1</v>
      </c>
      <c r="P24" s="43">
        <v>1</v>
      </c>
      <c r="Q24" s="44"/>
      <c r="R24" s="43">
        <v>2</v>
      </c>
      <c r="S24" s="44">
        <v>2</v>
      </c>
      <c r="T24" s="43">
        <v>3</v>
      </c>
      <c r="U24" s="44">
        <v>2</v>
      </c>
      <c r="V24" s="43">
        <v>3</v>
      </c>
      <c r="W24" s="44">
        <v>2</v>
      </c>
      <c r="X24" s="43"/>
      <c r="Y24" s="44"/>
      <c r="Z24" s="43">
        <v>2</v>
      </c>
      <c r="AA24" s="43"/>
    </row>
    <row r="25" spans="1:29" x14ac:dyDescent="0.25">
      <c r="A25" s="3" t="s">
        <v>40</v>
      </c>
      <c r="B25" s="43"/>
      <c r="C25" s="43"/>
      <c r="D25" s="43"/>
      <c r="E25" s="43"/>
      <c r="F25" s="43">
        <v>2</v>
      </c>
      <c r="G25" s="43"/>
      <c r="H25" s="43"/>
      <c r="I25" s="43"/>
      <c r="J25" s="43">
        <v>2</v>
      </c>
      <c r="K25" s="43"/>
      <c r="L25" s="42"/>
      <c r="M25" s="42"/>
      <c r="N25" s="43"/>
      <c r="O25" s="44"/>
      <c r="P25" s="43"/>
      <c r="Q25" s="44"/>
      <c r="R25" s="43">
        <v>3</v>
      </c>
      <c r="S25" s="44"/>
      <c r="T25" s="43">
        <v>3</v>
      </c>
      <c r="U25" s="44"/>
      <c r="V25" s="43"/>
      <c r="W25" s="44"/>
      <c r="X25" s="43"/>
      <c r="Y25" s="44"/>
      <c r="Z25" s="43"/>
      <c r="AA25" s="43"/>
      <c r="AB25" s="3">
        <v>1</v>
      </c>
    </row>
    <row r="26" spans="1:29" x14ac:dyDescent="0.25">
      <c r="A26" s="3" t="s">
        <v>41</v>
      </c>
      <c r="B26" s="43"/>
      <c r="C26" s="43"/>
      <c r="D26" s="43">
        <v>1</v>
      </c>
      <c r="E26" s="43"/>
      <c r="F26" s="43">
        <v>1</v>
      </c>
      <c r="G26" s="43">
        <v>1</v>
      </c>
      <c r="H26" s="43">
        <v>1</v>
      </c>
      <c r="I26" s="43">
        <v>1</v>
      </c>
      <c r="J26" s="43">
        <v>3</v>
      </c>
      <c r="K26" s="43">
        <v>2</v>
      </c>
      <c r="L26" s="42"/>
      <c r="M26" s="42"/>
      <c r="N26" s="43">
        <v>1</v>
      </c>
      <c r="O26" s="44">
        <v>2</v>
      </c>
      <c r="P26" s="43">
        <v>1</v>
      </c>
      <c r="Q26" s="44">
        <v>1</v>
      </c>
      <c r="R26" s="43">
        <v>1</v>
      </c>
      <c r="S26" s="44">
        <v>1</v>
      </c>
      <c r="T26" s="43">
        <v>2</v>
      </c>
      <c r="U26" s="44">
        <v>2</v>
      </c>
      <c r="V26" s="43">
        <v>2</v>
      </c>
      <c r="W26" s="44">
        <v>2</v>
      </c>
      <c r="X26" s="43"/>
      <c r="Y26" s="44"/>
      <c r="Z26" s="43">
        <v>1</v>
      </c>
      <c r="AA26" s="43">
        <v>1</v>
      </c>
      <c r="AC26" s="3">
        <v>2</v>
      </c>
    </row>
    <row r="27" spans="1:29" x14ac:dyDescent="0.25">
      <c r="A27" s="3" t="s">
        <v>42</v>
      </c>
      <c r="B27" s="43"/>
      <c r="C27" s="43"/>
      <c r="D27" s="43"/>
      <c r="E27" s="43">
        <v>1</v>
      </c>
      <c r="F27" s="43">
        <v>1</v>
      </c>
      <c r="G27" s="43">
        <v>2</v>
      </c>
      <c r="H27" s="43">
        <v>2</v>
      </c>
      <c r="I27" s="43">
        <v>2</v>
      </c>
      <c r="J27" s="43">
        <v>3</v>
      </c>
      <c r="K27" s="43">
        <v>3</v>
      </c>
      <c r="L27" s="42"/>
      <c r="M27" s="42"/>
      <c r="N27" s="43"/>
      <c r="O27" s="44">
        <v>2</v>
      </c>
      <c r="P27" s="43"/>
      <c r="Q27" s="44"/>
      <c r="R27" s="43">
        <v>3</v>
      </c>
      <c r="S27" s="44">
        <v>1</v>
      </c>
      <c r="T27" s="43">
        <v>3</v>
      </c>
      <c r="U27" s="44">
        <v>2</v>
      </c>
      <c r="V27" s="43"/>
      <c r="W27" s="44">
        <v>2</v>
      </c>
      <c r="X27" s="43"/>
      <c r="Y27" s="44"/>
      <c r="Z27" s="43"/>
      <c r="AA27" s="43"/>
    </row>
    <row r="28" spans="1:29" x14ac:dyDescent="0.25">
      <c r="A28" s="3" t="s">
        <v>93</v>
      </c>
      <c r="B28" s="43"/>
      <c r="C28" s="43"/>
      <c r="D28" s="43"/>
      <c r="E28" s="43">
        <v>1</v>
      </c>
      <c r="F28" s="43"/>
      <c r="G28" s="43">
        <v>2</v>
      </c>
      <c r="H28" s="43"/>
      <c r="I28" s="43">
        <v>1</v>
      </c>
      <c r="J28" s="43"/>
      <c r="K28" s="43"/>
      <c r="L28" s="42"/>
      <c r="M28" s="42"/>
      <c r="N28" s="43"/>
      <c r="O28" s="44"/>
      <c r="P28" s="43"/>
      <c r="Q28" s="44"/>
      <c r="R28" s="43"/>
      <c r="S28" s="44"/>
      <c r="T28" s="43">
        <v>2</v>
      </c>
      <c r="U28" s="44">
        <v>2</v>
      </c>
      <c r="V28" s="43"/>
      <c r="W28" s="44"/>
      <c r="X28" s="43"/>
      <c r="Y28" s="44">
        <v>1</v>
      </c>
      <c r="Z28" s="43">
        <v>2</v>
      </c>
      <c r="AA28" s="43">
        <v>2</v>
      </c>
      <c r="AB28" s="3">
        <v>1</v>
      </c>
    </row>
    <row r="29" spans="1:29" x14ac:dyDescent="0.25">
      <c r="A29" s="3" t="s">
        <v>44</v>
      </c>
      <c r="B29" s="43">
        <v>2</v>
      </c>
      <c r="C29" s="43">
        <v>2</v>
      </c>
      <c r="D29" s="43">
        <v>1</v>
      </c>
      <c r="E29" s="43">
        <v>1</v>
      </c>
      <c r="F29" s="43">
        <v>1</v>
      </c>
      <c r="G29" s="43">
        <v>1</v>
      </c>
      <c r="H29" s="43">
        <v>1</v>
      </c>
      <c r="I29" s="43">
        <v>1</v>
      </c>
      <c r="J29" s="43">
        <v>2</v>
      </c>
      <c r="K29" s="43">
        <v>2</v>
      </c>
      <c r="L29" s="42">
        <v>1</v>
      </c>
      <c r="M29" s="42"/>
      <c r="N29" s="43">
        <v>1</v>
      </c>
      <c r="O29" s="44">
        <v>1</v>
      </c>
      <c r="P29" s="43">
        <v>2</v>
      </c>
      <c r="Q29" s="44"/>
      <c r="R29" s="43">
        <v>1</v>
      </c>
      <c r="S29" s="44">
        <v>1</v>
      </c>
      <c r="T29" s="43">
        <v>2</v>
      </c>
      <c r="U29" s="44">
        <v>2</v>
      </c>
      <c r="V29" s="43">
        <v>1</v>
      </c>
      <c r="W29" s="44"/>
      <c r="X29" s="43"/>
      <c r="Y29" s="44"/>
      <c r="Z29" s="43">
        <v>1</v>
      </c>
      <c r="AA29" s="43"/>
    </row>
    <row r="30" spans="1:29" x14ac:dyDescent="0.25">
      <c r="A30" s="3" t="s">
        <v>80</v>
      </c>
      <c r="B30" s="43"/>
      <c r="C30" s="43"/>
      <c r="D30" s="43"/>
      <c r="E30" s="43">
        <v>1</v>
      </c>
      <c r="F30" s="43">
        <v>2</v>
      </c>
      <c r="G30" s="43">
        <v>2</v>
      </c>
      <c r="H30" s="43"/>
      <c r="I30" s="43"/>
      <c r="J30" s="43"/>
      <c r="K30" s="43"/>
      <c r="L30" s="42"/>
      <c r="M30" s="42"/>
      <c r="N30" s="43"/>
      <c r="O30" s="44"/>
      <c r="P30" s="43"/>
      <c r="Q30" s="44"/>
      <c r="R30" s="43"/>
      <c r="S30" s="44"/>
      <c r="T30" s="43">
        <v>1</v>
      </c>
      <c r="U30" s="44">
        <v>2</v>
      </c>
      <c r="V30" s="43"/>
      <c r="W30" s="44"/>
      <c r="X30" s="43"/>
      <c r="Y30" s="44"/>
      <c r="Z30" s="43">
        <v>3</v>
      </c>
      <c r="AA30" s="43">
        <v>2</v>
      </c>
      <c r="AB30" s="3">
        <v>2</v>
      </c>
    </row>
    <row r="31" spans="1:29" x14ac:dyDescent="0.25">
      <c r="A31" s="3" t="s">
        <v>81</v>
      </c>
      <c r="B31" s="43">
        <v>1</v>
      </c>
      <c r="C31" s="43">
        <v>1</v>
      </c>
      <c r="D31" s="43">
        <v>1</v>
      </c>
      <c r="E31" s="43">
        <v>1</v>
      </c>
      <c r="F31" s="43">
        <v>1</v>
      </c>
      <c r="G31" s="43">
        <v>1</v>
      </c>
      <c r="H31" s="43">
        <v>1</v>
      </c>
      <c r="I31" s="43">
        <v>1</v>
      </c>
      <c r="J31" s="43">
        <v>3</v>
      </c>
      <c r="K31" s="43"/>
      <c r="L31" s="42">
        <v>1</v>
      </c>
      <c r="M31" s="42"/>
      <c r="N31" s="43">
        <v>2</v>
      </c>
      <c r="O31" s="44">
        <v>2</v>
      </c>
      <c r="P31" s="43">
        <v>1</v>
      </c>
      <c r="Q31" s="44">
        <v>1</v>
      </c>
      <c r="R31" s="43">
        <v>2</v>
      </c>
      <c r="S31" s="44">
        <v>2</v>
      </c>
      <c r="T31" s="43">
        <v>3</v>
      </c>
      <c r="U31" s="44">
        <v>1</v>
      </c>
      <c r="V31" s="43">
        <v>2</v>
      </c>
      <c r="W31" s="44">
        <v>2</v>
      </c>
      <c r="X31" s="43"/>
      <c r="Y31" s="44">
        <v>2</v>
      </c>
      <c r="Z31" s="43">
        <v>2</v>
      </c>
      <c r="AA31" s="43"/>
      <c r="AB31" s="3">
        <v>1</v>
      </c>
    </row>
    <row r="32" spans="1:29" x14ac:dyDescent="0.25">
      <c r="A32" s="3" t="s">
        <v>82</v>
      </c>
      <c r="B32" s="43"/>
      <c r="C32" s="43"/>
      <c r="D32" s="43">
        <v>1</v>
      </c>
      <c r="E32" s="43">
        <v>1</v>
      </c>
      <c r="F32" s="43">
        <v>1</v>
      </c>
      <c r="G32" s="43">
        <v>1</v>
      </c>
      <c r="H32" s="43">
        <v>1</v>
      </c>
      <c r="I32" s="43"/>
      <c r="J32" s="43">
        <v>2</v>
      </c>
      <c r="K32" s="43"/>
      <c r="L32" s="42"/>
      <c r="M32" s="42"/>
      <c r="N32" s="43">
        <v>1</v>
      </c>
      <c r="O32" s="44">
        <v>1</v>
      </c>
      <c r="P32" s="43"/>
      <c r="Q32" s="44"/>
      <c r="R32" s="43"/>
      <c r="S32" s="44"/>
      <c r="T32" s="43">
        <v>1</v>
      </c>
      <c r="U32" s="44"/>
      <c r="V32" s="43">
        <v>1</v>
      </c>
      <c r="W32" s="44">
        <v>1</v>
      </c>
      <c r="X32" s="43"/>
      <c r="Y32" s="44"/>
      <c r="Z32" s="43">
        <v>3</v>
      </c>
      <c r="AA32" s="43"/>
    </row>
    <row r="33" spans="2:35" x14ac:dyDescent="0.25">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row>
    <row r="34" spans="2:35" x14ac:dyDescent="0.2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2:35" x14ac:dyDescent="0.2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row>
    <row r="36" spans="2:35" x14ac:dyDescent="0.2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2:35" x14ac:dyDescent="0.25">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35" x14ac:dyDescent="0.25">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1"/>
      <c r="AC38" s="41"/>
      <c r="AD38" s="41"/>
      <c r="AE38" s="41"/>
      <c r="AF38" s="41"/>
      <c r="AG38" s="41"/>
      <c r="AH38" s="41"/>
      <c r="AI38" s="41"/>
    </row>
    <row r="39" spans="2:35" x14ac:dyDescent="0.25">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2:35" x14ac:dyDescent="0.25">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2:35" x14ac:dyDescent="0.25">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2:35" x14ac:dyDescent="0.2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2:35" x14ac:dyDescent="0.25">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sheetData>
  <sheetProtection password="C2EC" sheet="1" objects="1" scenarios="1" selectLockedCells="1" selectUnlockedCells="1"/>
  <mergeCells count="14">
    <mergeCell ref="L1:M1"/>
    <mergeCell ref="B1:C1"/>
    <mergeCell ref="D1:E1"/>
    <mergeCell ref="F1:G1"/>
    <mergeCell ref="H1:I1"/>
    <mergeCell ref="J1:K1"/>
    <mergeCell ref="AB1:AC1"/>
    <mergeCell ref="X1:Y1"/>
    <mergeCell ref="Z1:AA1"/>
    <mergeCell ref="N1:O1"/>
    <mergeCell ref="P1:Q1"/>
    <mergeCell ref="R1:S1"/>
    <mergeCell ref="T1:U1"/>
    <mergeCell ref="V1:W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2" tint="-0.89999084444715716"/>
  </sheetPr>
  <dimension ref="A1:AI43"/>
  <sheetViews>
    <sheetView zoomScale="85" zoomScaleNormal="85" workbookViewId="0">
      <selection activeCell="Z41" sqref="Z41"/>
    </sheetView>
  </sheetViews>
  <sheetFormatPr defaultRowHeight="15" x14ac:dyDescent="0.25"/>
  <cols>
    <col min="1" max="1" width="32.85546875" style="3" bestFit="1" customWidth="1"/>
    <col min="2" max="27" width="8" style="3" customWidth="1"/>
    <col min="28" max="16384" width="9.140625" style="3"/>
  </cols>
  <sheetData>
    <row r="1" spans="1:29" s="7" customFormat="1" ht="45.75" customHeight="1" x14ac:dyDescent="0.25">
      <c r="B1" s="187" t="s">
        <v>133</v>
      </c>
      <c r="C1" s="187"/>
      <c r="D1" s="187" t="s">
        <v>134</v>
      </c>
      <c r="E1" s="187"/>
      <c r="F1" s="187" t="s">
        <v>135</v>
      </c>
      <c r="G1" s="187"/>
      <c r="H1" s="187" t="s">
        <v>136</v>
      </c>
      <c r="I1" s="187"/>
      <c r="J1" s="187" t="s">
        <v>137</v>
      </c>
      <c r="K1" s="187"/>
      <c r="L1" s="187" t="s">
        <v>138</v>
      </c>
      <c r="M1" s="187"/>
      <c r="N1" s="187" t="s">
        <v>139</v>
      </c>
      <c r="O1" s="187"/>
      <c r="P1" s="187" t="s">
        <v>140</v>
      </c>
      <c r="Q1" s="187"/>
      <c r="R1" s="187" t="s">
        <v>141</v>
      </c>
      <c r="S1" s="187"/>
      <c r="T1" s="187" t="s">
        <v>142</v>
      </c>
      <c r="U1" s="187"/>
      <c r="V1" s="187" t="s">
        <v>143</v>
      </c>
      <c r="W1" s="187"/>
      <c r="X1" s="187" t="s">
        <v>144</v>
      </c>
      <c r="Y1" s="187"/>
      <c r="Z1" s="187" t="s">
        <v>150</v>
      </c>
      <c r="AA1" s="187"/>
      <c r="AB1" s="187" t="s">
        <v>193</v>
      </c>
      <c r="AC1" s="187"/>
    </row>
    <row r="2" spans="1:29" x14ac:dyDescent="0.25">
      <c r="A2" s="3" t="s">
        <v>48</v>
      </c>
      <c r="B2" s="3" t="s">
        <v>145</v>
      </c>
      <c r="C2" s="3" t="s">
        <v>146</v>
      </c>
      <c r="D2" s="3" t="s">
        <v>145</v>
      </c>
      <c r="E2" s="3" t="s">
        <v>146</v>
      </c>
      <c r="F2" s="3" t="s">
        <v>145</v>
      </c>
      <c r="G2" s="3" t="s">
        <v>146</v>
      </c>
      <c r="H2" s="3" t="s">
        <v>145</v>
      </c>
      <c r="I2" s="3" t="s">
        <v>146</v>
      </c>
      <c r="J2" s="3" t="s">
        <v>145</v>
      </c>
      <c r="K2" s="3" t="s">
        <v>146</v>
      </c>
      <c r="L2" s="3" t="s">
        <v>145</v>
      </c>
      <c r="M2" s="3" t="s">
        <v>146</v>
      </c>
      <c r="N2" s="3" t="s">
        <v>145</v>
      </c>
      <c r="O2" s="3" t="s">
        <v>146</v>
      </c>
      <c r="P2" s="3" t="s">
        <v>145</v>
      </c>
      <c r="Q2" s="3" t="s">
        <v>146</v>
      </c>
      <c r="R2" s="3" t="s">
        <v>145</v>
      </c>
      <c r="S2" s="3" t="s">
        <v>146</v>
      </c>
      <c r="T2" s="3" t="s">
        <v>145</v>
      </c>
      <c r="U2" s="3" t="s">
        <v>146</v>
      </c>
      <c r="V2" s="3" t="s">
        <v>145</v>
      </c>
      <c r="W2" s="3" t="s">
        <v>146</v>
      </c>
      <c r="X2" s="3" t="s">
        <v>145</v>
      </c>
      <c r="Y2" s="3" t="s">
        <v>146</v>
      </c>
      <c r="Z2" s="3" t="s">
        <v>145</v>
      </c>
      <c r="AA2" s="3" t="s">
        <v>146</v>
      </c>
      <c r="AB2" s="47" t="s">
        <v>145</v>
      </c>
      <c r="AC2" s="47" t="s">
        <v>146</v>
      </c>
    </row>
    <row r="3" spans="1:29" x14ac:dyDescent="0.25">
      <c r="A3" s="3" t="s">
        <v>87</v>
      </c>
      <c r="B3" s="45"/>
      <c r="C3" s="45"/>
      <c r="D3" s="43" t="s">
        <v>148</v>
      </c>
      <c r="E3" s="43" t="s">
        <v>147</v>
      </c>
      <c r="F3" s="42" t="s">
        <v>148</v>
      </c>
      <c r="G3" s="42" t="s">
        <v>148</v>
      </c>
      <c r="H3" s="43" t="s">
        <v>148</v>
      </c>
      <c r="I3" s="43" t="s">
        <v>148</v>
      </c>
      <c r="J3" s="43" t="s">
        <v>148</v>
      </c>
      <c r="K3" s="43" t="s">
        <v>148</v>
      </c>
      <c r="L3" s="42"/>
      <c r="M3" s="42"/>
      <c r="N3" s="43"/>
      <c r="O3" s="44" t="s">
        <v>147</v>
      </c>
      <c r="P3" s="43"/>
      <c r="Q3" s="44"/>
      <c r="R3" s="42" t="s">
        <v>148</v>
      </c>
      <c r="S3" s="44" t="s">
        <v>147</v>
      </c>
      <c r="T3" s="42" t="s">
        <v>154</v>
      </c>
      <c r="U3" s="44" t="s">
        <v>148</v>
      </c>
      <c r="V3" s="43"/>
      <c r="W3" s="44" t="s">
        <v>147</v>
      </c>
      <c r="X3" s="43"/>
      <c r="Y3" s="44"/>
      <c r="Z3" s="43" t="s">
        <v>147</v>
      </c>
      <c r="AA3" s="43" t="s">
        <v>147</v>
      </c>
    </row>
    <row r="4" spans="1:29" x14ac:dyDescent="0.25">
      <c r="A4" s="3" t="s">
        <v>19</v>
      </c>
      <c r="B4" s="43"/>
      <c r="C4" s="43"/>
      <c r="D4" s="43" t="s">
        <v>148</v>
      </c>
      <c r="E4" s="43" t="s">
        <v>147</v>
      </c>
      <c r="F4" s="43" t="s">
        <v>147</v>
      </c>
      <c r="G4" s="43" t="s">
        <v>147</v>
      </c>
      <c r="H4" s="43" t="s">
        <v>148</v>
      </c>
      <c r="I4" s="43"/>
      <c r="J4" s="43" t="s">
        <v>147</v>
      </c>
      <c r="K4" s="43" t="s">
        <v>148</v>
      </c>
      <c r="L4" s="42"/>
      <c r="M4" s="42"/>
      <c r="N4" s="43"/>
      <c r="O4" s="44"/>
      <c r="P4" s="43"/>
      <c r="Q4" s="44"/>
      <c r="R4" s="43" t="s">
        <v>148</v>
      </c>
      <c r="S4" s="44" t="s">
        <v>148</v>
      </c>
      <c r="T4" s="43" t="s">
        <v>147</v>
      </c>
      <c r="U4" s="44" t="s">
        <v>147</v>
      </c>
      <c r="V4" s="43"/>
      <c r="W4" s="44"/>
      <c r="X4" s="43"/>
      <c r="Y4" s="44"/>
      <c r="Z4" s="43" t="s">
        <v>147</v>
      </c>
      <c r="AA4" s="43" t="s">
        <v>148</v>
      </c>
    </row>
    <row r="5" spans="1:29" x14ac:dyDescent="0.25">
      <c r="A5" s="3" t="s">
        <v>20</v>
      </c>
      <c r="B5" s="43"/>
      <c r="C5" s="43" t="s">
        <v>148</v>
      </c>
      <c r="D5" s="43" t="s">
        <v>147</v>
      </c>
      <c r="E5" s="43" t="s">
        <v>147</v>
      </c>
      <c r="F5" s="43" t="s">
        <v>149</v>
      </c>
      <c r="G5" s="43" t="s">
        <v>149</v>
      </c>
      <c r="H5" s="43" t="s">
        <v>149</v>
      </c>
      <c r="I5" s="43" t="s">
        <v>149</v>
      </c>
      <c r="J5" s="43" t="s">
        <v>149</v>
      </c>
      <c r="K5" s="43" t="s">
        <v>149</v>
      </c>
      <c r="L5" s="43" t="s">
        <v>149</v>
      </c>
      <c r="M5" s="43" t="s">
        <v>148</v>
      </c>
      <c r="N5" s="43" t="s">
        <v>148</v>
      </c>
      <c r="O5" s="44" t="s">
        <v>148</v>
      </c>
      <c r="P5" s="43" t="s">
        <v>148</v>
      </c>
      <c r="Q5" s="44" t="s">
        <v>148</v>
      </c>
      <c r="R5" s="43" t="s">
        <v>147</v>
      </c>
      <c r="S5" s="44" t="s">
        <v>147</v>
      </c>
      <c r="T5" s="43" t="s">
        <v>155</v>
      </c>
      <c r="U5" s="44" t="s">
        <v>149</v>
      </c>
      <c r="V5" s="43" t="s">
        <v>149</v>
      </c>
      <c r="W5" s="44" t="s">
        <v>148</v>
      </c>
      <c r="X5" s="43"/>
      <c r="Y5" s="44"/>
      <c r="Z5" s="43"/>
      <c r="AA5" s="43"/>
      <c r="AB5" s="3" t="s">
        <v>149</v>
      </c>
      <c r="AC5" s="3" t="s">
        <v>148</v>
      </c>
    </row>
    <row r="6" spans="1:29" x14ac:dyDescent="0.25">
      <c r="A6" s="3" t="s">
        <v>21</v>
      </c>
      <c r="B6" s="43"/>
      <c r="C6" s="43"/>
      <c r="D6" s="43"/>
      <c r="E6" s="43"/>
      <c r="F6" s="43"/>
      <c r="G6" s="43" t="s">
        <v>148</v>
      </c>
      <c r="H6" s="43"/>
      <c r="I6" s="43" t="s">
        <v>148</v>
      </c>
      <c r="J6" s="43"/>
      <c r="K6" s="43" t="s">
        <v>148</v>
      </c>
      <c r="L6" s="42"/>
      <c r="M6" s="42"/>
      <c r="N6" s="43"/>
      <c r="O6" s="44" t="s">
        <v>147</v>
      </c>
      <c r="P6" s="43"/>
      <c r="Q6" s="44"/>
      <c r="R6" s="43"/>
      <c r="S6" s="44" t="s">
        <v>147</v>
      </c>
      <c r="T6" s="43"/>
      <c r="U6" s="44" t="s">
        <v>147</v>
      </c>
      <c r="V6" s="43"/>
      <c r="W6" s="44" t="s">
        <v>147</v>
      </c>
      <c r="X6" s="43"/>
      <c r="Y6" s="44"/>
      <c r="Z6" s="43"/>
      <c r="AA6" s="43" t="s">
        <v>147</v>
      </c>
    </row>
    <row r="7" spans="1:29" x14ac:dyDescent="0.25">
      <c r="A7" s="3" t="s">
        <v>22</v>
      </c>
      <c r="B7" s="43" t="s">
        <v>149</v>
      </c>
      <c r="C7" s="43" t="s">
        <v>148</v>
      </c>
      <c r="D7" s="43" t="s">
        <v>147</v>
      </c>
      <c r="E7" s="43"/>
      <c r="F7" s="43" t="s">
        <v>149</v>
      </c>
      <c r="G7" s="43" t="s">
        <v>147</v>
      </c>
      <c r="H7" s="43" t="s">
        <v>149</v>
      </c>
      <c r="I7" s="43" t="s">
        <v>147</v>
      </c>
      <c r="J7" s="43" t="s">
        <v>149</v>
      </c>
      <c r="K7" s="43" t="s">
        <v>149</v>
      </c>
      <c r="L7" s="42" t="s">
        <v>148</v>
      </c>
      <c r="M7" s="42" t="s">
        <v>148</v>
      </c>
      <c r="N7" s="43" t="s">
        <v>149</v>
      </c>
      <c r="O7" s="44" t="s">
        <v>148</v>
      </c>
      <c r="P7" s="43" t="s">
        <v>149</v>
      </c>
      <c r="Q7" s="44" t="s">
        <v>148</v>
      </c>
      <c r="R7" s="43" t="s">
        <v>147</v>
      </c>
      <c r="S7" s="44" t="s">
        <v>148</v>
      </c>
      <c r="T7" s="43" t="s">
        <v>148</v>
      </c>
      <c r="U7" s="44" t="s">
        <v>148</v>
      </c>
      <c r="V7" s="43" t="s">
        <v>149</v>
      </c>
      <c r="W7" s="44" t="s">
        <v>148</v>
      </c>
      <c r="X7" s="43"/>
      <c r="Y7" s="44"/>
      <c r="Z7" s="43"/>
      <c r="AA7" s="43"/>
      <c r="AB7" s="3" t="s">
        <v>149</v>
      </c>
      <c r="AC7" s="3" t="s">
        <v>147</v>
      </c>
    </row>
    <row r="8" spans="1:29" x14ac:dyDescent="0.25">
      <c r="A8" s="3" t="s">
        <v>23</v>
      </c>
      <c r="B8" s="43"/>
      <c r="C8" s="43"/>
      <c r="D8" s="43"/>
      <c r="E8" s="43"/>
      <c r="F8" s="43" t="s">
        <v>148</v>
      </c>
      <c r="G8" s="43" t="s">
        <v>148</v>
      </c>
      <c r="H8" s="43" t="s">
        <v>149</v>
      </c>
      <c r="I8" s="43" t="s">
        <v>148</v>
      </c>
      <c r="J8" s="43" t="s">
        <v>148</v>
      </c>
      <c r="K8" s="43" t="s">
        <v>148</v>
      </c>
      <c r="L8" s="42"/>
      <c r="M8" s="42"/>
      <c r="N8" s="43"/>
      <c r="O8" s="44" t="s">
        <v>147</v>
      </c>
      <c r="P8" s="43"/>
      <c r="Q8" s="44"/>
      <c r="R8" s="43"/>
      <c r="S8" s="44"/>
      <c r="T8" s="43" t="s">
        <v>147</v>
      </c>
      <c r="U8" s="44" t="s">
        <v>148</v>
      </c>
      <c r="V8" s="43"/>
      <c r="W8" s="44" t="s">
        <v>147</v>
      </c>
      <c r="X8" s="43"/>
      <c r="Y8" s="44"/>
      <c r="Z8" s="43" t="s">
        <v>148</v>
      </c>
      <c r="AA8" s="43" t="s">
        <v>148</v>
      </c>
    </row>
    <row r="9" spans="1:29" x14ac:dyDescent="0.25">
      <c r="A9" s="3" t="s">
        <v>88</v>
      </c>
      <c r="B9" s="43"/>
      <c r="C9" s="43"/>
      <c r="D9" s="43" t="s">
        <v>151</v>
      </c>
      <c r="E9" s="43" t="s">
        <v>147</v>
      </c>
      <c r="F9" s="43" t="s">
        <v>148</v>
      </c>
      <c r="G9" s="43" t="s">
        <v>148</v>
      </c>
      <c r="H9" s="43" t="s">
        <v>153</v>
      </c>
      <c r="I9" s="43" t="s">
        <v>147</v>
      </c>
      <c r="J9" s="43" t="s">
        <v>149</v>
      </c>
      <c r="K9" s="43"/>
      <c r="L9" s="42"/>
      <c r="M9" s="42"/>
      <c r="N9" s="43" t="s">
        <v>147</v>
      </c>
      <c r="O9" s="44" t="s">
        <v>147</v>
      </c>
      <c r="P9" s="43"/>
      <c r="Q9" s="44"/>
      <c r="R9" s="43" t="s">
        <v>147</v>
      </c>
      <c r="S9" s="44" t="s">
        <v>147</v>
      </c>
      <c r="T9" s="43" t="s">
        <v>155</v>
      </c>
      <c r="U9" s="44" t="s">
        <v>148</v>
      </c>
      <c r="V9" s="43" t="s">
        <v>147</v>
      </c>
      <c r="W9" s="44" t="s">
        <v>147</v>
      </c>
      <c r="X9" s="43" t="s">
        <v>149</v>
      </c>
      <c r="Y9" s="44"/>
      <c r="Z9" s="43" t="s">
        <v>149</v>
      </c>
      <c r="AA9" s="43"/>
    </row>
    <row r="10" spans="1:29" x14ac:dyDescent="0.25">
      <c r="A10" s="3" t="s">
        <v>89</v>
      </c>
      <c r="B10" s="43"/>
      <c r="C10" s="43"/>
      <c r="D10" s="43"/>
      <c r="E10" s="43"/>
      <c r="F10" s="43" t="s">
        <v>148</v>
      </c>
      <c r="G10" s="43"/>
      <c r="H10" s="43"/>
      <c r="I10" s="43"/>
      <c r="J10" s="43" t="s">
        <v>148</v>
      </c>
      <c r="K10" s="43"/>
      <c r="L10" s="42"/>
      <c r="M10" s="42"/>
      <c r="N10" s="43"/>
      <c r="O10" s="44" t="s">
        <v>148</v>
      </c>
      <c r="P10" s="43"/>
      <c r="Q10" s="44"/>
      <c r="R10" s="43"/>
      <c r="S10" s="44"/>
      <c r="T10" s="43"/>
      <c r="U10" s="44"/>
      <c r="V10" s="43"/>
      <c r="W10" s="44" t="s">
        <v>147</v>
      </c>
      <c r="X10" s="43"/>
      <c r="Y10" s="44"/>
      <c r="Z10" s="43"/>
      <c r="AA10" s="43"/>
    </row>
    <row r="11" spans="1:29" x14ac:dyDescent="0.25">
      <c r="A11" s="3" t="s">
        <v>26</v>
      </c>
      <c r="B11" s="43" t="s">
        <v>148</v>
      </c>
      <c r="C11" s="43" t="s">
        <v>147</v>
      </c>
      <c r="D11" s="43"/>
      <c r="E11" s="43" t="s">
        <v>147</v>
      </c>
      <c r="F11" s="43" t="s">
        <v>149</v>
      </c>
      <c r="G11" s="43" t="s">
        <v>149</v>
      </c>
      <c r="H11" s="43" t="s">
        <v>148</v>
      </c>
      <c r="I11" s="43" t="s">
        <v>147</v>
      </c>
      <c r="J11" s="43" t="s">
        <v>148</v>
      </c>
      <c r="K11" s="43" t="s">
        <v>148</v>
      </c>
      <c r="L11" s="42"/>
      <c r="M11" s="42"/>
      <c r="N11" s="43" t="s">
        <v>148</v>
      </c>
      <c r="O11" s="44" t="s">
        <v>147</v>
      </c>
      <c r="P11" s="43" t="s">
        <v>147</v>
      </c>
      <c r="Q11" s="44" t="s">
        <v>147</v>
      </c>
      <c r="R11" s="43"/>
      <c r="S11" s="44" t="s">
        <v>147</v>
      </c>
      <c r="T11" s="43" t="s">
        <v>149</v>
      </c>
      <c r="U11" s="44" t="s">
        <v>148</v>
      </c>
      <c r="V11" s="43" t="s">
        <v>147</v>
      </c>
      <c r="W11" s="44" t="s">
        <v>147</v>
      </c>
      <c r="X11" s="43"/>
      <c r="Y11" s="44"/>
      <c r="Z11" s="43"/>
      <c r="AA11" s="43"/>
      <c r="AC11" s="3" t="s">
        <v>147</v>
      </c>
    </row>
    <row r="12" spans="1:29" x14ac:dyDescent="0.25">
      <c r="A12" s="3" t="s">
        <v>27</v>
      </c>
      <c r="B12" s="43" t="s">
        <v>147</v>
      </c>
      <c r="C12" s="43" t="s">
        <v>147</v>
      </c>
      <c r="D12" s="43" t="s">
        <v>148</v>
      </c>
      <c r="E12" s="43" t="s">
        <v>147</v>
      </c>
      <c r="F12" s="43" t="s">
        <v>148</v>
      </c>
      <c r="G12" s="43" t="s">
        <v>148</v>
      </c>
      <c r="H12" s="43" t="s">
        <v>148</v>
      </c>
      <c r="I12" s="43" t="s">
        <v>147</v>
      </c>
      <c r="J12" s="43" t="s">
        <v>148</v>
      </c>
      <c r="K12" s="43" t="s">
        <v>149</v>
      </c>
      <c r="L12" s="42" t="s">
        <v>148</v>
      </c>
      <c r="M12" s="42"/>
      <c r="N12" s="43" t="s">
        <v>148</v>
      </c>
      <c r="O12" s="44" t="s">
        <v>148</v>
      </c>
      <c r="P12" s="43" t="s">
        <v>148</v>
      </c>
      <c r="Q12" s="44" t="s">
        <v>148</v>
      </c>
      <c r="R12" s="43"/>
      <c r="S12" s="44" t="s">
        <v>147</v>
      </c>
      <c r="T12" s="43" t="s">
        <v>147</v>
      </c>
      <c r="U12" s="44" t="s">
        <v>147</v>
      </c>
      <c r="V12" s="43"/>
      <c r="W12" s="44" t="s">
        <v>147</v>
      </c>
      <c r="X12" s="43"/>
      <c r="Y12" s="44"/>
      <c r="Z12" s="43"/>
      <c r="AA12" s="43"/>
      <c r="AC12" s="3" t="s">
        <v>147</v>
      </c>
    </row>
    <row r="13" spans="1:29" x14ac:dyDescent="0.25">
      <c r="A13" s="3" t="s">
        <v>28</v>
      </c>
      <c r="B13" s="43"/>
      <c r="C13" s="43"/>
      <c r="D13" s="43"/>
      <c r="E13" s="43" t="s">
        <v>147</v>
      </c>
      <c r="F13" s="43" t="s">
        <v>147</v>
      </c>
      <c r="G13" s="43" t="s">
        <v>147</v>
      </c>
      <c r="H13" s="43"/>
      <c r="I13" s="43" t="s">
        <v>148</v>
      </c>
      <c r="J13" s="43" t="s">
        <v>148</v>
      </c>
      <c r="K13" s="43" t="s">
        <v>148</v>
      </c>
      <c r="L13" s="42"/>
      <c r="M13" s="42"/>
      <c r="N13" s="43"/>
      <c r="O13" s="44"/>
      <c r="P13" s="43"/>
      <c r="Q13" s="44"/>
      <c r="R13" s="43" t="s">
        <v>148</v>
      </c>
      <c r="S13" s="44" t="s">
        <v>147</v>
      </c>
      <c r="T13" s="43" t="s">
        <v>148</v>
      </c>
      <c r="U13" s="44" t="s">
        <v>147</v>
      </c>
      <c r="V13" s="43"/>
      <c r="W13" s="44" t="s">
        <v>147</v>
      </c>
      <c r="X13" s="43"/>
      <c r="Y13" s="44"/>
      <c r="Z13" s="43" t="s">
        <v>147</v>
      </c>
      <c r="AA13" s="43" t="s">
        <v>148</v>
      </c>
    </row>
    <row r="14" spans="1:29" x14ac:dyDescent="0.25">
      <c r="A14" s="3" t="s">
        <v>29</v>
      </c>
      <c r="B14" s="43" t="s">
        <v>148</v>
      </c>
      <c r="C14" s="43"/>
      <c r="D14" s="43"/>
      <c r="E14" s="43"/>
      <c r="F14" s="43" t="s">
        <v>148</v>
      </c>
      <c r="G14" s="43"/>
      <c r="H14" s="43"/>
      <c r="I14" s="43"/>
      <c r="J14" s="43" t="s">
        <v>148</v>
      </c>
      <c r="K14" s="43"/>
      <c r="L14" s="42" t="s">
        <v>148</v>
      </c>
      <c r="M14" s="42"/>
      <c r="N14" s="43"/>
      <c r="O14" s="44"/>
      <c r="P14" s="43"/>
      <c r="Q14" s="44"/>
      <c r="R14" s="43"/>
      <c r="S14" s="44"/>
      <c r="T14" s="43" t="s">
        <v>149</v>
      </c>
      <c r="U14" s="44"/>
      <c r="V14" s="43"/>
      <c r="W14" s="44"/>
      <c r="X14" s="43"/>
      <c r="Y14" s="44"/>
      <c r="Z14" s="43" t="s">
        <v>148</v>
      </c>
      <c r="AA14" s="43"/>
    </row>
    <row r="15" spans="1:29" x14ac:dyDescent="0.25">
      <c r="A15" s="3" t="s">
        <v>30</v>
      </c>
      <c r="B15" s="43"/>
      <c r="C15" s="43"/>
      <c r="D15" s="43"/>
      <c r="E15" s="43"/>
      <c r="F15" s="43" t="s">
        <v>147</v>
      </c>
      <c r="G15" s="43" t="s">
        <v>147</v>
      </c>
      <c r="H15" s="43"/>
      <c r="I15" s="43" t="s">
        <v>147</v>
      </c>
      <c r="J15" s="43" t="s">
        <v>147</v>
      </c>
      <c r="K15" s="43" t="s">
        <v>148</v>
      </c>
      <c r="L15" s="42"/>
      <c r="M15" s="42"/>
      <c r="N15" s="43"/>
      <c r="O15" s="44" t="s">
        <v>147</v>
      </c>
      <c r="P15" s="43"/>
      <c r="Q15" s="44"/>
      <c r="R15" s="43"/>
      <c r="S15" s="44"/>
      <c r="T15" s="43" t="s">
        <v>147</v>
      </c>
      <c r="U15" s="44" t="s">
        <v>148</v>
      </c>
      <c r="V15" s="43"/>
      <c r="W15" s="44" t="s">
        <v>147</v>
      </c>
      <c r="X15" s="43"/>
      <c r="Y15" s="44"/>
      <c r="Z15" s="43" t="s">
        <v>148</v>
      </c>
      <c r="AA15" s="43" t="s">
        <v>148</v>
      </c>
    </row>
    <row r="16" spans="1:29" x14ac:dyDescent="0.25">
      <c r="A16" s="3" t="s">
        <v>90</v>
      </c>
      <c r="B16" s="43"/>
      <c r="C16" s="43"/>
      <c r="D16" s="43" t="s">
        <v>152</v>
      </c>
      <c r="E16" s="43"/>
      <c r="F16" s="43" t="s">
        <v>148</v>
      </c>
      <c r="G16" s="43"/>
      <c r="H16" s="43"/>
      <c r="I16" s="43"/>
      <c r="J16" s="43" t="s">
        <v>148</v>
      </c>
      <c r="K16" s="43"/>
      <c r="L16" s="42"/>
      <c r="M16" s="42"/>
      <c r="N16" s="43"/>
      <c r="O16" s="44"/>
      <c r="P16" s="43"/>
      <c r="Q16" s="44"/>
      <c r="R16" s="43" t="s">
        <v>147</v>
      </c>
      <c r="S16" s="44"/>
      <c r="T16" s="43" t="s">
        <v>147</v>
      </c>
      <c r="U16" s="44"/>
      <c r="V16" s="43"/>
      <c r="W16" s="44"/>
      <c r="X16" s="43"/>
      <c r="Y16" s="44"/>
      <c r="Z16" s="43" t="s">
        <v>148</v>
      </c>
      <c r="AA16" s="43"/>
    </row>
    <row r="17" spans="1:29" x14ac:dyDescent="0.25">
      <c r="A17" s="3" t="s">
        <v>91</v>
      </c>
      <c r="B17" s="43"/>
      <c r="C17" s="43"/>
      <c r="D17" s="43"/>
      <c r="E17" s="43" t="s">
        <v>147</v>
      </c>
      <c r="F17" s="43" t="s">
        <v>148</v>
      </c>
      <c r="G17" s="43" t="s">
        <v>148</v>
      </c>
      <c r="H17" s="43"/>
      <c r="I17" s="43" t="s">
        <v>147</v>
      </c>
      <c r="J17" s="43"/>
      <c r="K17" s="43"/>
      <c r="L17" s="42"/>
      <c r="M17" s="42"/>
      <c r="N17" s="43"/>
      <c r="O17" s="44"/>
      <c r="P17" s="43"/>
      <c r="Q17" s="44"/>
      <c r="R17" s="43"/>
      <c r="S17" s="44"/>
      <c r="T17" s="43" t="s">
        <v>147</v>
      </c>
      <c r="U17" s="44" t="s">
        <v>148</v>
      </c>
      <c r="V17" s="43"/>
      <c r="W17" s="44"/>
      <c r="X17" s="43" t="s">
        <v>147</v>
      </c>
      <c r="Y17" s="44"/>
      <c r="Z17" s="43" t="s">
        <v>149</v>
      </c>
      <c r="AA17" s="43" t="s">
        <v>148</v>
      </c>
    </row>
    <row r="18" spans="1:29" x14ac:dyDescent="0.25">
      <c r="A18" s="3" t="s">
        <v>33</v>
      </c>
      <c r="B18" s="43" t="s">
        <v>148</v>
      </c>
      <c r="C18" s="43" t="s">
        <v>148</v>
      </c>
      <c r="D18" s="43"/>
      <c r="E18" s="43" t="s">
        <v>147</v>
      </c>
      <c r="F18" s="43" t="s">
        <v>149</v>
      </c>
      <c r="G18" s="43" t="s">
        <v>149</v>
      </c>
      <c r="H18" s="43" t="s">
        <v>149</v>
      </c>
      <c r="I18" s="43" t="s">
        <v>149</v>
      </c>
      <c r="J18" s="43" t="s">
        <v>149</v>
      </c>
      <c r="K18" s="43" t="s">
        <v>149</v>
      </c>
      <c r="L18" s="42" t="s">
        <v>149</v>
      </c>
      <c r="M18" s="42" t="s">
        <v>148</v>
      </c>
      <c r="N18" s="43" t="s">
        <v>149</v>
      </c>
      <c r="O18" s="44" t="s">
        <v>148</v>
      </c>
      <c r="P18" s="43" t="s">
        <v>149</v>
      </c>
      <c r="Q18" s="44" t="s">
        <v>148</v>
      </c>
      <c r="R18" s="43" t="s">
        <v>147</v>
      </c>
      <c r="S18" s="44" t="s">
        <v>148</v>
      </c>
      <c r="T18" s="43" t="s">
        <v>148</v>
      </c>
      <c r="U18" s="44" t="s">
        <v>148</v>
      </c>
      <c r="V18" s="43" t="s">
        <v>149</v>
      </c>
      <c r="W18" s="44" t="s">
        <v>148</v>
      </c>
      <c r="X18" s="43"/>
      <c r="Y18" s="44"/>
      <c r="Z18" s="43"/>
      <c r="AA18" s="43"/>
      <c r="AB18" s="3" t="s">
        <v>149</v>
      </c>
      <c r="AC18" s="3" t="s">
        <v>147</v>
      </c>
    </row>
    <row r="19" spans="1:29" x14ac:dyDescent="0.25">
      <c r="A19" s="3" t="s">
        <v>34</v>
      </c>
      <c r="B19" s="43" t="s">
        <v>148</v>
      </c>
      <c r="C19" s="43" t="s">
        <v>147</v>
      </c>
      <c r="D19" s="43"/>
      <c r="E19" s="43" t="s">
        <v>147</v>
      </c>
      <c r="F19" s="43" t="s">
        <v>149</v>
      </c>
      <c r="G19" s="43" t="s">
        <v>148</v>
      </c>
      <c r="H19" s="43" t="s">
        <v>149</v>
      </c>
      <c r="I19" s="43" t="s">
        <v>147</v>
      </c>
      <c r="J19" s="43" t="s">
        <v>149</v>
      </c>
      <c r="K19" s="43"/>
      <c r="L19" s="42"/>
      <c r="M19" s="42"/>
      <c r="N19" s="43" t="s">
        <v>148</v>
      </c>
      <c r="O19" s="44" t="s">
        <v>148</v>
      </c>
      <c r="P19" s="43" t="s">
        <v>148</v>
      </c>
      <c r="Q19" s="44"/>
      <c r="R19" s="43" t="s">
        <v>148</v>
      </c>
      <c r="S19" s="44" t="s">
        <v>147</v>
      </c>
      <c r="T19" s="43" t="s">
        <v>149</v>
      </c>
      <c r="U19" s="44" t="s">
        <v>149</v>
      </c>
      <c r="V19" s="43" t="s">
        <v>149</v>
      </c>
      <c r="W19" s="44" t="s">
        <v>147</v>
      </c>
      <c r="X19" s="43"/>
      <c r="Y19" s="44"/>
      <c r="Z19" s="43" t="s">
        <v>147</v>
      </c>
      <c r="AA19" s="43" t="s">
        <v>147</v>
      </c>
    </row>
    <row r="20" spans="1:29" x14ac:dyDescent="0.25">
      <c r="A20" s="3" t="s">
        <v>92</v>
      </c>
      <c r="B20" s="43"/>
      <c r="C20" s="43"/>
      <c r="D20" s="43"/>
      <c r="E20" s="43"/>
      <c r="F20" s="43" t="s">
        <v>147</v>
      </c>
      <c r="G20" s="43" t="s">
        <v>147</v>
      </c>
      <c r="H20" s="43" t="s">
        <v>148</v>
      </c>
      <c r="I20" s="43" t="s">
        <v>148</v>
      </c>
      <c r="J20" s="43" t="s">
        <v>147</v>
      </c>
      <c r="K20" s="43" t="s">
        <v>147</v>
      </c>
      <c r="L20" s="42"/>
      <c r="M20" s="42"/>
      <c r="N20" s="43"/>
      <c r="O20" s="44"/>
      <c r="P20" s="43"/>
      <c r="Q20" s="44"/>
      <c r="R20" s="43"/>
      <c r="S20" s="44"/>
      <c r="T20" s="43" t="s">
        <v>147</v>
      </c>
      <c r="U20" s="44" t="s">
        <v>148</v>
      </c>
      <c r="V20" s="43"/>
      <c r="W20" s="44"/>
      <c r="X20" s="43" t="s">
        <v>149</v>
      </c>
      <c r="Y20" s="44"/>
      <c r="Z20" s="43" t="s">
        <v>149</v>
      </c>
      <c r="AA20" s="43" t="s">
        <v>148</v>
      </c>
    </row>
    <row r="21" spans="1:29" x14ac:dyDescent="0.25">
      <c r="A21" s="3" t="s">
        <v>36</v>
      </c>
      <c r="B21" s="43" t="s">
        <v>149</v>
      </c>
      <c r="C21" s="43" t="s">
        <v>148</v>
      </c>
      <c r="D21" s="43"/>
      <c r="E21" s="43" t="s">
        <v>147</v>
      </c>
      <c r="F21" s="43" t="s">
        <v>148</v>
      </c>
      <c r="G21" s="43" t="s">
        <v>148</v>
      </c>
      <c r="H21" s="43" t="s">
        <v>149</v>
      </c>
      <c r="I21" s="43" t="s">
        <v>148</v>
      </c>
      <c r="J21" s="43" t="s">
        <v>149</v>
      </c>
      <c r="K21" s="43" t="s">
        <v>148</v>
      </c>
      <c r="L21" s="42" t="s">
        <v>148</v>
      </c>
      <c r="M21" s="42"/>
      <c r="N21" s="43" t="s">
        <v>148</v>
      </c>
      <c r="O21" s="44" t="s">
        <v>148</v>
      </c>
      <c r="P21" s="43"/>
      <c r="Q21" s="44"/>
      <c r="R21" s="43" t="s">
        <v>148</v>
      </c>
      <c r="S21" s="44" t="s">
        <v>148</v>
      </c>
      <c r="T21" s="43" t="s">
        <v>149</v>
      </c>
      <c r="U21" s="44" t="s">
        <v>148</v>
      </c>
      <c r="V21" s="43" t="s">
        <v>148</v>
      </c>
      <c r="W21" s="44" t="s">
        <v>148</v>
      </c>
      <c r="X21" s="43"/>
      <c r="Y21" s="44"/>
      <c r="Z21" s="43" t="s">
        <v>148</v>
      </c>
      <c r="AA21" s="43"/>
    </row>
    <row r="22" spans="1:29" x14ac:dyDescent="0.25">
      <c r="A22" s="3" t="s">
        <v>37</v>
      </c>
      <c r="B22" s="43"/>
      <c r="C22" s="43"/>
      <c r="D22" s="43"/>
      <c r="E22" s="43" t="s">
        <v>147</v>
      </c>
      <c r="F22" s="43" t="s">
        <v>149</v>
      </c>
      <c r="G22" s="43" t="s">
        <v>148</v>
      </c>
      <c r="H22" s="43"/>
      <c r="I22" s="43"/>
      <c r="J22" s="43" t="s">
        <v>149</v>
      </c>
      <c r="K22" s="43" t="s">
        <v>148</v>
      </c>
      <c r="L22" s="42"/>
      <c r="M22" s="42"/>
      <c r="N22" s="43" t="s">
        <v>149</v>
      </c>
      <c r="O22" s="44" t="s">
        <v>148</v>
      </c>
      <c r="P22" s="43"/>
      <c r="Q22" s="44"/>
      <c r="R22" s="43" t="s">
        <v>149</v>
      </c>
      <c r="S22" s="44" t="s">
        <v>149</v>
      </c>
      <c r="T22" s="43" t="s">
        <v>149</v>
      </c>
      <c r="U22" s="44" t="s">
        <v>149</v>
      </c>
      <c r="V22" s="43" t="s">
        <v>149</v>
      </c>
      <c r="W22" s="44" t="s">
        <v>148</v>
      </c>
      <c r="X22" s="43"/>
      <c r="Y22" s="44"/>
      <c r="Z22" s="43"/>
      <c r="AA22" s="43"/>
      <c r="AC22" s="3" t="s">
        <v>149</v>
      </c>
    </row>
    <row r="23" spans="1:29" x14ac:dyDescent="0.25">
      <c r="A23" s="3" t="s">
        <v>38</v>
      </c>
      <c r="B23" s="43"/>
      <c r="C23" s="43"/>
      <c r="D23" s="43" t="s">
        <v>147</v>
      </c>
      <c r="E23" s="43" t="s">
        <v>147</v>
      </c>
      <c r="F23" s="43" t="s">
        <v>148</v>
      </c>
      <c r="G23" s="43" t="s">
        <v>148</v>
      </c>
      <c r="H23" s="43"/>
      <c r="I23" s="43"/>
      <c r="J23" s="43" t="s">
        <v>147</v>
      </c>
      <c r="K23" s="43" t="s">
        <v>147</v>
      </c>
      <c r="L23" s="42"/>
      <c r="M23" s="42"/>
      <c r="N23" s="43"/>
      <c r="O23" s="44" t="s">
        <v>148</v>
      </c>
      <c r="P23" s="43"/>
      <c r="Q23" s="44"/>
      <c r="R23" s="43" t="s">
        <v>149</v>
      </c>
      <c r="S23" s="44" t="s">
        <v>148</v>
      </c>
      <c r="T23" s="43" t="s">
        <v>148</v>
      </c>
      <c r="U23" s="44" t="s">
        <v>148</v>
      </c>
      <c r="V23" s="43"/>
      <c r="W23" s="44" t="s">
        <v>149</v>
      </c>
      <c r="X23" s="43"/>
      <c r="Y23" s="44"/>
      <c r="Z23" s="43" t="s">
        <v>147</v>
      </c>
      <c r="AA23" s="43" t="s">
        <v>147</v>
      </c>
      <c r="AB23" s="3" t="s">
        <v>148</v>
      </c>
      <c r="AC23" s="3" t="s">
        <v>149</v>
      </c>
    </row>
    <row r="24" spans="1:29" x14ac:dyDescent="0.25">
      <c r="A24" s="3" t="s">
        <v>39</v>
      </c>
      <c r="B24" s="43" t="s">
        <v>147</v>
      </c>
      <c r="C24" s="43" t="s">
        <v>147</v>
      </c>
      <c r="D24" s="43" t="s">
        <v>147</v>
      </c>
      <c r="E24" s="43" t="s">
        <v>147</v>
      </c>
      <c r="F24" s="43" t="s">
        <v>149</v>
      </c>
      <c r="G24" s="43" t="s">
        <v>149</v>
      </c>
      <c r="H24" s="43" t="s">
        <v>148</v>
      </c>
      <c r="I24" s="43" t="s">
        <v>147</v>
      </c>
      <c r="J24" s="43" t="s">
        <v>149</v>
      </c>
      <c r="K24" s="43" t="s">
        <v>148</v>
      </c>
      <c r="L24" s="42"/>
      <c r="M24" s="42"/>
      <c r="N24" s="43" t="s">
        <v>148</v>
      </c>
      <c r="O24" s="44" t="s">
        <v>147</v>
      </c>
      <c r="P24" s="43" t="s">
        <v>147</v>
      </c>
      <c r="Q24" s="44"/>
      <c r="R24" s="43" t="s">
        <v>148</v>
      </c>
      <c r="S24" s="44" t="s">
        <v>148</v>
      </c>
      <c r="T24" s="43" t="s">
        <v>149</v>
      </c>
      <c r="U24" s="44" t="s">
        <v>148</v>
      </c>
      <c r="V24" s="43" t="s">
        <v>149</v>
      </c>
      <c r="W24" s="44" t="s">
        <v>148</v>
      </c>
      <c r="X24" s="43"/>
      <c r="Y24" s="44"/>
      <c r="Z24" s="43" t="s">
        <v>148</v>
      </c>
      <c r="AA24" s="43"/>
      <c r="AB24" s="3" t="s">
        <v>148</v>
      </c>
    </row>
    <row r="25" spans="1:29" x14ac:dyDescent="0.25">
      <c r="A25" s="3" t="s">
        <v>40</v>
      </c>
      <c r="B25" s="43"/>
      <c r="C25" s="43"/>
      <c r="D25" s="43"/>
      <c r="E25" s="43"/>
      <c r="F25" s="43" t="s">
        <v>148</v>
      </c>
      <c r="G25" s="43"/>
      <c r="H25" s="43"/>
      <c r="I25" s="43"/>
      <c r="J25" s="43" t="s">
        <v>148</v>
      </c>
      <c r="K25" s="43"/>
      <c r="L25" s="42"/>
      <c r="M25" s="42"/>
      <c r="N25" s="43"/>
      <c r="O25" s="44"/>
      <c r="P25" s="43"/>
      <c r="Q25" s="44"/>
      <c r="R25" s="43" t="s">
        <v>149</v>
      </c>
      <c r="S25" s="44"/>
      <c r="T25" s="43" t="s">
        <v>149</v>
      </c>
      <c r="U25" s="44"/>
      <c r="V25" s="43"/>
      <c r="W25" s="44"/>
      <c r="X25" s="43"/>
      <c r="Y25" s="44"/>
      <c r="Z25" s="43"/>
      <c r="AA25" s="43"/>
    </row>
    <row r="26" spans="1:29" x14ac:dyDescent="0.25">
      <c r="A26" s="3" t="s">
        <v>41</v>
      </c>
      <c r="B26" s="43"/>
      <c r="C26" s="43"/>
      <c r="D26" s="43" t="s">
        <v>147</v>
      </c>
      <c r="E26" s="43"/>
      <c r="F26" s="43" t="s">
        <v>147</v>
      </c>
      <c r="G26" s="43" t="s">
        <v>147</v>
      </c>
      <c r="H26" s="43" t="s">
        <v>147</v>
      </c>
      <c r="I26" s="43" t="s">
        <v>147</v>
      </c>
      <c r="J26" s="43" t="s">
        <v>149</v>
      </c>
      <c r="K26" s="43" t="s">
        <v>148</v>
      </c>
      <c r="L26" s="42"/>
      <c r="M26" s="42"/>
      <c r="N26" s="43" t="s">
        <v>147</v>
      </c>
      <c r="O26" s="44" t="s">
        <v>148</v>
      </c>
      <c r="P26" s="43" t="s">
        <v>147</v>
      </c>
      <c r="Q26" s="44" t="s">
        <v>147</v>
      </c>
      <c r="R26" s="43" t="s">
        <v>147</v>
      </c>
      <c r="S26" s="44" t="s">
        <v>147</v>
      </c>
      <c r="T26" s="43" t="s">
        <v>148</v>
      </c>
      <c r="U26" s="44" t="s">
        <v>148</v>
      </c>
      <c r="V26" s="43" t="s">
        <v>148</v>
      </c>
      <c r="W26" s="44" t="s">
        <v>148</v>
      </c>
      <c r="X26" s="43"/>
      <c r="Y26" s="44"/>
      <c r="Z26" s="43" t="s">
        <v>147</v>
      </c>
      <c r="AA26" s="43" t="s">
        <v>147</v>
      </c>
      <c r="AB26" s="3" t="s">
        <v>147</v>
      </c>
    </row>
    <row r="27" spans="1:29" x14ac:dyDescent="0.25">
      <c r="A27" s="3" t="s">
        <v>42</v>
      </c>
      <c r="B27" s="43"/>
      <c r="C27" s="43"/>
      <c r="D27" s="43"/>
      <c r="E27" s="43" t="s">
        <v>147</v>
      </c>
      <c r="F27" s="43" t="s">
        <v>147</v>
      </c>
      <c r="G27" s="43" t="s">
        <v>148</v>
      </c>
      <c r="H27" s="43" t="s">
        <v>148</v>
      </c>
      <c r="I27" s="43" t="s">
        <v>148</v>
      </c>
      <c r="J27" s="43" t="s">
        <v>149</v>
      </c>
      <c r="K27" s="43" t="s">
        <v>149</v>
      </c>
      <c r="L27" s="42"/>
      <c r="M27" s="42"/>
      <c r="N27" s="43"/>
      <c r="O27" s="44" t="s">
        <v>148</v>
      </c>
      <c r="P27" s="43"/>
      <c r="Q27" s="44"/>
      <c r="R27" s="43" t="s">
        <v>149</v>
      </c>
      <c r="S27" s="44" t="s">
        <v>147</v>
      </c>
      <c r="T27" s="43" t="s">
        <v>149</v>
      </c>
      <c r="U27" s="44" t="s">
        <v>148</v>
      </c>
      <c r="V27" s="43"/>
      <c r="W27" s="44" t="s">
        <v>148</v>
      </c>
      <c r="X27" s="43"/>
      <c r="Y27" s="44"/>
      <c r="Z27" s="43"/>
      <c r="AA27" s="43"/>
      <c r="AC27" s="3" t="s">
        <v>148</v>
      </c>
    </row>
    <row r="28" spans="1:29" x14ac:dyDescent="0.25">
      <c r="A28" s="3" t="s">
        <v>93</v>
      </c>
      <c r="B28" s="43"/>
      <c r="C28" s="43"/>
      <c r="D28" s="43"/>
      <c r="E28" s="43" t="s">
        <v>147</v>
      </c>
      <c r="F28" s="43"/>
      <c r="G28" s="43" t="s">
        <v>148</v>
      </c>
      <c r="H28" s="43"/>
      <c r="I28" s="43" t="s">
        <v>147</v>
      </c>
      <c r="J28" s="43"/>
      <c r="K28" s="43"/>
      <c r="L28" s="42"/>
      <c r="M28" s="42"/>
      <c r="N28" s="43"/>
      <c r="O28" s="44"/>
      <c r="P28" s="43"/>
      <c r="Q28" s="44"/>
      <c r="R28" s="43"/>
      <c r="S28" s="44"/>
      <c r="T28" s="43" t="s">
        <v>148</v>
      </c>
      <c r="U28" s="44" t="s">
        <v>148</v>
      </c>
      <c r="V28" s="43"/>
      <c r="W28" s="44"/>
      <c r="X28" s="43"/>
      <c r="Y28" s="44" t="s">
        <v>147</v>
      </c>
      <c r="Z28" s="43" t="s">
        <v>148</v>
      </c>
      <c r="AA28" s="43" t="s">
        <v>148</v>
      </c>
    </row>
    <row r="29" spans="1:29" x14ac:dyDescent="0.25">
      <c r="A29" s="3" t="s">
        <v>44</v>
      </c>
      <c r="B29" s="43" t="s">
        <v>148</v>
      </c>
      <c r="C29" s="43" t="s">
        <v>148</v>
      </c>
      <c r="D29" s="43" t="s">
        <v>147</v>
      </c>
      <c r="E29" s="43" t="s">
        <v>147</v>
      </c>
      <c r="F29" s="43" t="s">
        <v>147</v>
      </c>
      <c r="G29" s="43" t="s">
        <v>147</v>
      </c>
      <c r="H29" s="43" t="s">
        <v>147</v>
      </c>
      <c r="I29" s="43" t="s">
        <v>147</v>
      </c>
      <c r="J29" s="43" t="s">
        <v>148</v>
      </c>
      <c r="K29" s="43" t="s">
        <v>148</v>
      </c>
      <c r="L29" s="42" t="s">
        <v>147</v>
      </c>
      <c r="M29" s="42"/>
      <c r="N29" s="43" t="s">
        <v>147</v>
      </c>
      <c r="O29" s="44" t="s">
        <v>147</v>
      </c>
      <c r="P29" s="43" t="s">
        <v>148</v>
      </c>
      <c r="Q29" s="44"/>
      <c r="R29" s="43" t="s">
        <v>147</v>
      </c>
      <c r="S29" s="44" t="s">
        <v>147</v>
      </c>
      <c r="T29" s="43" t="s">
        <v>148</v>
      </c>
      <c r="U29" s="44" t="s">
        <v>148</v>
      </c>
      <c r="V29" s="43" t="s">
        <v>147</v>
      </c>
      <c r="W29" s="44"/>
      <c r="X29" s="43"/>
      <c r="Y29" s="44"/>
      <c r="Z29" s="43" t="s">
        <v>147</v>
      </c>
      <c r="AA29" s="43"/>
      <c r="AB29" s="3" t="s">
        <v>147</v>
      </c>
    </row>
    <row r="30" spans="1:29" x14ac:dyDescent="0.25">
      <c r="A30" s="3" t="s">
        <v>80</v>
      </c>
      <c r="B30" s="43"/>
      <c r="C30" s="43"/>
      <c r="D30" s="43"/>
      <c r="E30" s="43" t="s">
        <v>147</v>
      </c>
      <c r="F30" s="43" t="s">
        <v>148</v>
      </c>
      <c r="G30" s="43" t="s">
        <v>148</v>
      </c>
      <c r="H30" s="43"/>
      <c r="I30" s="43"/>
      <c r="J30" s="43"/>
      <c r="K30" s="43"/>
      <c r="L30" s="42"/>
      <c r="M30" s="42"/>
      <c r="N30" s="43"/>
      <c r="O30" s="44"/>
      <c r="P30" s="43"/>
      <c r="Q30" s="44"/>
      <c r="R30" s="43"/>
      <c r="S30" s="44"/>
      <c r="T30" s="43" t="s">
        <v>147</v>
      </c>
      <c r="U30" s="44" t="s">
        <v>148</v>
      </c>
      <c r="V30" s="43"/>
      <c r="W30" s="44"/>
      <c r="X30" s="43"/>
      <c r="Y30" s="44"/>
      <c r="Z30" s="43" t="s">
        <v>149</v>
      </c>
      <c r="AA30" s="43" t="s">
        <v>148</v>
      </c>
    </row>
    <row r="31" spans="1:29" x14ac:dyDescent="0.25">
      <c r="A31" s="3" t="s">
        <v>81</v>
      </c>
      <c r="B31" s="43" t="s">
        <v>147</v>
      </c>
      <c r="C31" s="43" t="s">
        <v>147</v>
      </c>
      <c r="D31" s="43" t="s">
        <v>147</v>
      </c>
      <c r="E31" s="43" t="s">
        <v>147</v>
      </c>
      <c r="F31" s="43" t="s">
        <v>147</v>
      </c>
      <c r="G31" s="43" t="s">
        <v>147</v>
      </c>
      <c r="H31" s="43" t="s">
        <v>147</v>
      </c>
      <c r="I31" s="43" t="s">
        <v>147</v>
      </c>
      <c r="J31" s="43" t="s">
        <v>149</v>
      </c>
      <c r="K31" s="43"/>
      <c r="L31" s="42" t="s">
        <v>147</v>
      </c>
      <c r="M31" s="42"/>
      <c r="N31" s="43" t="s">
        <v>148</v>
      </c>
      <c r="O31" s="44" t="s">
        <v>148</v>
      </c>
      <c r="P31" s="43" t="s">
        <v>147</v>
      </c>
      <c r="Q31" s="44" t="s">
        <v>147</v>
      </c>
      <c r="R31" s="43" t="s">
        <v>148</v>
      </c>
      <c r="S31" s="44" t="s">
        <v>148</v>
      </c>
      <c r="T31" s="43" t="s">
        <v>149</v>
      </c>
      <c r="U31" s="44" t="s">
        <v>147</v>
      </c>
      <c r="V31" s="43" t="s">
        <v>148</v>
      </c>
      <c r="W31" s="44" t="s">
        <v>148</v>
      </c>
      <c r="X31" s="43"/>
      <c r="Y31" s="44" t="s">
        <v>148</v>
      </c>
      <c r="Z31" s="43" t="s">
        <v>148</v>
      </c>
      <c r="AA31" s="43"/>
      <c r="AB31" s="3" t="s">
        <v>148</v>
      </c>
    </row>
    <row r="32" spans="1:29" x14ac:dyDescent="0.25">
      <c r="A32" s="3" t="s">
        <v>82</v>
      </c>
      <c r="B32" s="43"/>
      <c r="C32" s="43"/>
      <c r="D32" s="43" t="s">
        <v>147</v>
      </c>
      <c r="E32" s="43" t="s">
        <v>147</v>
      </c>
      <c r="F32" s="43" t="s">
        <v>147</v>
      </c>
      <c r="G32" s="43" t="s">
        <v>147</v>
      </c>
      <c r="H32" s="43" t="s">
        <v>147</v>
      </c>
      <c r="I32" s="43"/>
      <c r="J32" s="43" t="s">
        <v>148</v>
      </c>
      <c r="K32" s="43"/>
      <c r="L32" s="42"/>
      <c r="M32" s="42"/>
      <c r="N32" s="43" t="s">
        <v>147</v>
      </c>
      <c r="O32" s="44" t="s">
        <v>147</v>
      </c>
      <c r="P32" s="43"/>
      <c r="Q32" s="44"/>
      <c r="R32" s="43"/>
      <c r="S32" s="44"/>
      <c r="T32" s="43" t="s">
        <v>147</v>
      </c>
      <c r="U32" s="44"/>
      <c r="V32" s="43" t="s">
        <v>147</v>
      </c>
      <c r="W32" s="44" t="s">
        <v>147</v>
      </c>
      <c r="X32" s="43"/>
      <c r="Y32" s="44"/>
      <c r="Z32" s="43" t="s">
        <v>149</v>
      </c>
      <c r="AA32" s="43"/>
      <c r="AB32" s="3" t="s">
        <v>147</v>
      </c>
    </row>
    <row r="33" spans="2:35" x14ac:dyDescent="0.25">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row>
    <row r="34" spans="2:35" x14ac:dyDescent="0.2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row>
    <row r="35" spans="2:35" x14ac:dyDescent="0.2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row>
    <row r="36" spans="2:35" x14ac:dyDescent="0.2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row>
    <row r="37" spans="2:35" x14ac:dyDescent="0.25">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row>
    <row r="38" spans="2:35" x14ac:dyDescent="0.25">
      <c r="B38" s="42"/>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1"/>
      <c r="AC38" s="41"/>
      <c r="AD38" s="41"/>
      <c r="AE38" s="41"/>
      <c r="AF38" s="41"/>
      <c r="AG38" s="41"/>
      <c r="AH38" s="41"/>
      <c r="AI38" s="41"/>
    </row>
    <row r="39" spans="2:35" x14ac:dyDescent="0.25">
      <c r="B39" s="42"/>
      <c r="C39" s="43"/>
      <c r="D39" s="43"/>
      <c r="E39" s="43"/>
      <c r="F39" s="43"/>
      <c r="G39" s="43"/>
      <c r="H39" s="43"/>
      <c r="I39" s="43"/>
      <c r="J39" s="43"/>
      <c r="K39" s="43"/>
      <c r="L39" s="43"/>
      <c r="M39" s="43"/>
      <c r="N39" s="43"/>
      <c r="O39" s="43"/>
      <c r="P39" s="43"/>
      <c r="Q39" s="43"/>
      <c r="R39" s="43"/>
      <c r="S39" s="43"/>
      <c r="T39" s="43"/>
      <c r="U39" s="43"/>
      <c r="V39" s="43"/>
      <c r="W39" s="43"/>
      <c r="X39" s="43"/>
      <c r="Y39" s="43"/>
      <c r="Z39" s="43"/>
      <c r="AA39" s="43"/>
    </row>
    <row r="40" spans="2:35" x14ac:dyDescent="0.25">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row>
    <row r="41" spans="2:35" x14ac:dyDescent="0.25">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row>
    <row r="42" spans="2:35" x14ac:dyDescent="0.2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row>
    <row r="43" spans="2:35" x14ac:dyDescent="0.25">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row>
  </sheetData>
  <sheetProtection password="C2EC" sheet="1" objects="1" scenarios="1" selectLockedCells="1" selectUnlockedCells="1"/>
  <mergeCells count="14">
    <mergeCell ref="L1:M1"/>
    <mergeCell ref="B1:C1"/>
    <mergeCell ref="D1:E1"/>
    <mergeCell ref="F1:G1"/>
    <mergeCell ref="H1:I1"/>
    <mergeCell ref="J1:K1"/>
    <mergeCell ref="AB1:AC1"/>
    <mergeCell ref="V1:W1"/>
    <mergeCell ref="X1:Y1"/>
    <mergeCell ref="Z1:AA1"/>
    <mergeCell ref="N1:O1"/>
    <mergeCell ref="P1:Q1"/>
    <mergeCell ref="R1:S1"/>
    <mergeCell ref="T1:U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2" tint="-0.89999084444715716"/>
  </sheetPr>
  <dimension ref="A1:E32"/>
  <sheetViews>
    <sheetView workbookViewId="0">
      <selection sqref="A1:E32"/>
    </sheetView>
  </sheetViews>
  <sheetFormatPr defaultRowHeight="15" x14ac:dyDescent="0.25"/>
  <cols>
    <col min="1" max="1" width="29" bestFit="1" customWidth="1"/>
    <col min="2" max="2" width="20.42578125" bestFit="1" customWidth="1"/>
    <col min="3" max="3" width="22.85546875" style="1" bestFit="1" customWidth="1"/>
    <col min="4" max="4" width="23.5703125" bestFit="1" customWidth="1"/>
    <col min="5" max="5" width="18.28515625" bestFit="1" customWidth="1"/>
  </cols>
  <sheetData>
    <row r="1" spans="1:5" x14ac:dyDescent="0.25">
      <c r="A1" t="s">
        <v>48</v>
      </c>
      <c r="B1" t="s">
        <v>70</v>
      </c>
    </row>
    <row r="2" spans="1:5" x14ac:dyDescent="0.25">
      <c r="C2" s="1" t="s">
        <v>73</v>
      </c>
      <c r="D2" t="s">
        <v>72</v>
      </c>
      <c r="E2" t="s">
        <v>71</v>
      </c>
    </row>
    <row r="3" spans="1:5" x14ac:dyDescent="0.25">
      <c r="A3" t="s">
        <v>18</v>
      </c>
      <c r="B3" s="2">
        <v>37.548168745985144</v>
      </c>
      <c r="C3" s="1">
        <v>20</v>
      </c>
      <c r="D3">
        <v>60.160734680164097</v>
      </c>
      <c r="E3">
        <v>75.200918350205114</v>
      </c>
    </row>
    <row r="4" spans="1:5" x14ac:dyDescent="0.25">
      <c r="A4" t="s">
        <v>19</v>
      </c>
      <c r="B4" s="2">
        <v>32.489917379875038</v>
      </c>
      <c r="C4" s="1">
        <v>20</v>
      </c>
      <c r="D4">
        <v>25.263487818932795</v>
      </c>
      <c r="E4">
        <v>31.579359773665992</v>
      </c>
    </row>
    <row r="5" spans="1:5" x14ac:dyDescent="0.25">
      <c r="A5" t="s">
        <v>20</v>
      </c>
      <c r="B5" s="2">
        <v>33.866291845135898</v>
      </c>
      <c r="C5" s="1">
        <v>20</v>
      </c>
      <c r="D5">
        <v>66.114526790114283</v>
      </c>
      <c r="E5">
        <v>82.64315848764285</v>
      </c>
    </row>
    <row r="6" spans="1:5" x14ac:dyDescent="0.25">
      <c r="A6" t="s">
        <v>21</v>
      </c>
      <c r="B6" s="2">
        <v>43.482259630329871</v>
      </c>
      <c r="C6" s="1">
        <v>20</v>
      </c>
      <c r="D6">
        <v>49.950460888986299</v>
      </c>
      <c r="E6">
        <v>62.438076111232874</v>
      </c>
    </row>
    <row r="7" spans="1:5" x14ac:dyDescent="0.25">
      <c r="A7" t="s">
        <v>22</v>
      </c>
      <c r="B7" s="2">
        <v>16.435578043561748</v>
      </c>
      <c r="C7" s="1">
        <v>20</v>
      </c>
      <c r="D7">
        <v>67.987217440620356</v>
      </c>
      <c r="E7">
        <v>84.984021800775452</v>
      </c>
    </row>
    <row r="8" spans="1:5" x14ac:dyDescent="0.25">
      <c r="A8" t="s">
        <v>23</v>
      </c>
      <c r="B8" s="2">
        <v>37.036593946448811</v>
      </c>
      <c r="C8" s="1">
        <v>20</v>
      </c>
      <c r="D8">
        <v>54.888883699856528</v>
      </c>
      <c r="E8">
        <v>68.611104624820655</v>
      </c>
    </row>
    <row r="9" spans="1:5" x14ac:dyDescent="0.25">
      <c r="A9" t="s">
        <v>24</v>
      </c>
      <c r="B9" s="2">
        <v>23.288418920447924</v>
      </c>
      <c r="C9" s="1">
        <v>20</v>
      </c>
      <c r="D9">
        <v>70.345289009035042</v>
      </c>
      <c r="E9">
        <v>87.931611261293796</v>
      </c>
    </row>
    <row r="10" spans="1:5" x14ac:dyDescent="0.25">
      <c r="A10" t="s">
        <v>25</v>
      </c>
      <c r="B10" s="2">
        <v>33.073818628544494</v>
      </c>
      <c r="C10" s="1">
        <v>20</v>
      </c>
      <c r="D10">
        <v>76.674261704157914</v>
      </c>
      <c r="E10">
        <v>95.842827130197392</v>
      </c>
    </row>
    <row r="11" spans="1:5" x14ac:dyDescent="0.25">
      <c r="A11" t="s">
        <v>26</v>
      </c>
      <c r="B11" s="2">
        <v>29.869479602384459</v>
      </c>
      <c r="C11" s="1">
        <v>20</v>
      </c>
      <c r="D11">
        <v>64.46048827892497</v>
      </c>
      <c r="E11">
        <v>80.575610348656213</v>
      </c>
    </row>
    <row r="12" spans="1:5" x14ac:dyDescent="0.25">
      <c r="A12" t="s">
        <v>27</v>
      </c>
      <c r="B12" s="2">
        <v>15.18777849409498</v>
      </c>
      <c r="C12" s="1">
        <v>60</v>
      </c>
      <c r="D12">
        <v>71.086590140481633</v>
      </c>
      <c r="E12">
        <v>88.858237675602041</v>
      </c>
    </row>
    <row r="13" spans="1:5" x14ac:dyDescent="0.25">
      <c r="A13" t="s">
        <v>28</v>
      </c>
      <c r="B13" s="2">
        <v>18.638553239503384</v>
      </c>
      <c r="C13" s="1">
        <v>20</v>
      </c>
      <c r="D13">
        <v>48.604917312666302</v>
      </c>
      <c r="E13">
        <v>60.756146640832881</v>
      </c>
    </row>
    <row r="14" spans="1:5" x14ac:dyDescent="0.25">
      <c r="A14" t="s">
        <v>29</v>
      </c>
      <c r="B14" s="2">
        <v>26.9448444857093</v>
      </c>
      <c r="C14" s="1">
        <v>20</v>
      </c>
      <c r="D14">
        <v>70.920031321303568</v>
      </c>
      <c r="E14">
        <v>88.650039151629457</v>
      </c>
    </row>
    <row r="15" spans="1:5" x14ac:dyDescent="0.25">
      <c r="A15" t="s">
        <v>30</v>
      </c>
      <c r="B15" s="2">
        <v>23.697266350073978</v>
      </c>
      <c r="C15" s="1">
        <v>20</v>
      </c>
      <c r="D15">
        <v>65.439200624049732</v>
      </c>
      <c r="E15">
        <v>81.799000780062158</v>
      </c>
    </row>
    <row r="16" spans="1:5" x14ac:dyDescent="0.25">
      <c r="A16" t="s">
        <v>31</v>
      </c>
      <c r="B16" s="2">
        <v>33.945558739769993</v>
      </c>
      <c r="C16" s="1">
        <v>20</v>
      </c>
      <c r="D16">
        <v>16.995351416408958</v>
      </c>
      <c r="E16">
        <v>21.2441892705112</v>
      </c>
    </row>
    <row r="17" spans="1:5" x14ac:dyDescent="0.25">
      <c r="A17" t="s">
        <v>32</v>
      </c>
      <c r="B17" s="2">
        <v>20.522404994048429</v>
      </c>
      <c r="C17" s="1">
        <v>20</v>
      </c>
      <c r="D17">
        <v>75.582841351707884</v>
      </c>
      <c r="E17">
        <v>94.478551689634855</v>
      </c>
    </row>
    <row r="18" spans="1:5" x14ac:dyDescent="0.25">
      <c r="A18" t="s">
        <v>33</v>
      </c>
      <c r="B18" s="2">
        <v>33.45837256059437</v>
      </c>
      <c r="C18" s="1">
        <v>20</v>
      </c>
      <c r="D18">
        <v>71.866206248154541</v>
      </c>
      <c r="E18">
        <v>89.832757810193172</v>
      </c>
    </row>
    <row r="19" spans="1:5" x14ac:dyDescent="0.25">
      <c r="A19" t="s">
        <v>34</v>
      </c>
      <c r="B19" s="2">
        <v>32.178613130221855</v>
      </c>
      <c r="C19" s="1">
        <v>20</v>
      </c>
      <c r="D19">
        <v>66.637435847889833</v>
      </c>
      <c r="E19">
        <v>83.296794809862291</v>
      </c>
    </row>
    <row r="20" spans="1:5" x14ac:dyDescent="0.25">
      <c r="A20" t="s">
        <v>35</v>
      </c>
      <c r="B20" s="2">
        <v>29.200872625130224</v>
      </c>
      <c r="C20" s="1">
        <v>20</v>
      </c>
      <c r="D20">
        <v>43.454206781649845</v>
      </c>
      <c r="E20">
        <v>54.317758477062306</v>
      </c>
    </row>
    <row r="21" spans="1:5" x14ac:dyDescent="0.25">
      <c r="A21" t="s">
        <v>36</v>
      </c>
      <c r="B21" s="2">
        <v>32.619374177347623</v>
      </c>
      <c r="C21" s="1">
        <v>20</v>
      </c>
      <c r="D21">
        <v>55.449118241636718</v>
      </c>
      <c r="E21">
        <v>69.311397802045903</v>
      </c>
    </row>
    <row r="22" spans="1:5" x14ac:dyDescent="0.25">
      <c r="A22" t="s">
        <v>37</v>
      </c>
      <c r="B22" s="2">
        <v>32.008945744801103</v>
      </c>
      <c r="C22" s="1">
        <v>20</v>
      </c>
      <c r="D22">
        <v>59.863801437830993</v>
      </c>
      <c r="E22">
        <v>74.829751797288736</v>
      </c>
    </row>
    <row r="23" spans="1:5" x14ac:dyDescent="0.25">
      <c r="A23" t="s">
        <v>38</v>
      </c>
      <c r="B23" s="2">
        <v>35.542744246364407</v>
      </c>
      <c r="C23" s="1">
        <v>20</v>
      </c>
      <c r="D23">
        <v>57.242839799225592</v>
      </c>
      <c r="E23">
        <v>71.553549749031987</v>
      </c>
    </row>
    <row r="24" spans="1:5" x14ac:dyDescent="0.25">
      <c r="A24" t="s">
        <v>39</v>
      </c>
      <c r="B24" s="2">
        <v>36.289125055097138</v>
      </c>
      <c r="C24" s="1">
        <v>20</v>
      </c>
      <c r="D24">
        <v>52.862256410125298</v>
      </c>
      <c r="E24">
        <v>66.077820512656615</v>
      </c>
    </row>
    <row r="25" spans="1:5" x14ac:dyDescent="0.25">
      <c r="A25" t="s">
        <v>40</v>
      </c>
      <c r="B25" s="2">
        <v>32.863598657297686</v>
      </c>
      <c r="C25" s="1">
        <v>20</v>
      </c>
      <c r="D25">
        <v>64.903295181959308</v>
      </c>
      <c r="E25">
        <v>81.129118977449139</v>
      </c>
    </row>
    <row r="26" spans="1:5" x14ac:dyDescent="0.25">
      <c r="A26" t="s">
        <v>41</v>
      </c>
      <c r="B26" s="2">
        <v>28.543658813407408</v>
      </c>
      <c r="C26" s="1">
        <v>20</v>
      </c>
      <c r="D26">
        <v>80.430523182657808</v>
      </c>
      <c r="E26">
        <v>100.53815397832226</v>
      </c>
    </row>
    <row r="27" spans="1:5" x14ac:dyDescent="0.25">
      <c r="A27" t="s">
        <v>42</v>
      </c>
      <c r="B27" s="2">
        <v>18.824660793730857</v>
      </c>
      <c r="C27" s="1">
        <v>20</v>
      </c>
      <c r="D27">
        <v>65.084864936234851</v>
      </c>
      <c r="E27">
        <v>81.356081170293564</v>
      </c>
    </row>
    <row r="28" spans="1:5" x14ac:dyDescent="0.25">
      <c r="A28" t="s">
        <v>43</v>
      </c>
      <c r="B28" s="2">
        <v>20.35298257628682</v>
      </c>
      <c r="C28" s="1">
        <v>20</v>
      </c>
      <c r="D28">
        <v>83.258184841461798</v>
      </c>
      <c r="E28">
        <v>104.07273105182725</v>
      </c>
    </row>
    <row r="29" spans="1:5" x14ac:dyDescent="0.25">
      <c r="A29" t="s">
        <v>44</v>
      </c>
      <c r="B29" s="2">
        <v>28.813635520596907</v>
      </c>
      <c r="C29" s="1">
        <v>20</v>
      </c>
      <c r="D29">
        <v>69.444585005612524</v>
      </c>
      <c r="E29">
        <v>86.805731257015651</v>
      </c>
    </row>
    <row r="30" spans="1:5" x14ac:dyDescent="0.25">
      <c r="A30" t="s">
        <v>45</v>
      </c>
      <c r="B30" s="2">
        <v>18.242554052203719</v>
      </c>
      <c r="C30" s="1">
        <v>20</v>
      </c>
      <c r="D30">
        <v>69.054285407797181</v>
      </c>
      <c r="E30">
        <v>86.317856759746476</v>
      </c>
    </row>
    <row r="31" spans="1:5" x14ac:dyDescent="0.25">
      <c r="A31" t="s">
        <v>46</v>
      </c>
      <c r="B31" s="2">
        <v>36.485200618852097</v>
      </c>
      <c r="C31" s="1">
        <v>20</v>
      </c>
      <c r="D31">
        <v>71.338409804179776</v>
      </c>
      <c r="E31">
        <v>89.17301225522472</v>
      </c>
    </row>
    <row r="32" spans="1:5" x14ac:dyDescent="0.25">
      <c r="A32" t="s">
        <v>47</v>
      </c>
      <c r="B32" s="2">
        <v>31.20078140780679</v>
      </c>
      <c r="C32" s="1">
        <v>20</v>
      </c>
      <c r="D32">
        <v>72.943326453438388</v>
      </c>
      <c r="E32">
        <v>91.179158066797982</v>
      </c>
    </row>
  </sheetData>
  <sheetProtection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G41"/>
  <sheetViews>
    <sheetView tabSelected="1" zoomScaleNormal="100" workbookViewId="0">
      <selection activeCell="B5" sqref="B5"/>
    </sheetView>
  </sheetViews>
  <sheetFormatPr defaultRowHeight="15" x14ac:dyDescent="0.25"/>
  <cols>
    <col min="1" max="1" width="69.7109375" bestFit="1" customWidth="1"/>
    <col min="2" max="2" width="50.5703125" bestFit="1" customWidth="1"/>
    <col min="3" max="3" width="68" bestFit="1" customWidth="1"/>
    <col min="4" max="4" width="12.140625" style="56" customWidth="1"/>
    <col min="5" max="5" width="83.5703125" bestFit="1" customWidth="1"/>
    <col min="6" max="6" width="22.85546875" bestFit="1" customWidth="1"/>
    <col min="7" max="7" width="19.42578125" bestFit="1" customWidth="1"/>
    <col min="8" max="8" width="21.42578125" bestFit="1" customWidth="1"/>
    <col min="9" max="9" width="25.85546875" bestFit="1" customWidth="1"/>
    <col min="10" max="10" width="31.7109375" bestFit="1" customWidth="1"/>
    <col min="11" max="11" width="24.140625" bestFit="1" customWidth="1"/>
  </cols>
  <sheetData>
    <row r="1" spans="1:4" s="56" customFormat="1" ht="21.75" thickBot="1" x14ac:dyDescent="0.4">
      <c r="A1" s="161" t="s">
        <v>348</v>
      </c>
      <c r="B1" s="162"/>
    </row>
    <row r="2" spans="1:4" s="56" customFormat="1" ht="163.5" customHeight="1" thickBot="1" x14ac:dyDescent="0.3">
      <c r="A2" s="203" t="s">
        <v>399</v>
      </c>
      <c r="B2" s="204"/>
    </row>
    <row r="3" spans="1:4" s="56" customFormat="1" ht="15.75" thickBot="1" x14ac:dyDescent="0.3"/>
    <row r="4" spans="1:4" s="56" customFormat="1" ht="19.5" thickBot="1" x14ac:dyDescent="0.35">
      <c r="A4" s="159" t="s">
        <v>333</v>
      </c>
      <c r="B4" s="160"/>
    </row>
    <row r="5" spans="1:4" ht="16.5" thickBot="1" x14ac:dyDescent="0.3">
      <c r="A5" s="77" t="s">
        <v>48</v>
      </c>
      <c r="B5" s="95" t="s">
        <v>87</v>
      </c>
    </row>
    <row r="6" spans="1:4" ht="16.5" thickBot="1" x14ac:dyDescent="0.3">
      <c r="A6" s="78" t="s">
        <v>182</v>
      </c>
      <c r="B6" s="96" t="s">
        <v>0</v>
      </c>
    </row>
    <row r="7" spans="1:4" s="56" customFormat="1" ht="16.5" thickBot="1" x14ac:dyDescent="0.3">
      <c r="A7" s="78" t="s">
        <v>288</v>
      </c>
      <c r="B7" s="97" t="s">
        <v>228</v>
      </c>
    </row>
    <row r="8" spans="1:4" s="56" customFormat="1" ht="19.5" thickBot="1" x14ac:dyDescent="0.35">
      <c r="A8" s="79" t="s">
        <v>189</v>
      </c>
      <c r="B8" s="76">
        <f>IF(B7="Yes", INDEX('Berm Reductions'!D4:F33, MATCH('(STEP 1) Baseline Conditions'!B5,'Berm Reductions'!A4:A33,0), MATCH('(STEP 1) Baseline Conditions'!B6,'Berm Reductions'!D3:F3,0)), INDEX('Buffer Reductions'!B4:D33, MATCH('(STEP 1) Baseline Conditions'!B5,'Buffer Reductions'!A4:A33,0), MATCH('(STEP 1) Baseline Conditions'!B6,'Buffer Reductions'!B3:D3,0)))</f>
        <v>2.08</v>
      </c>
    </row>
    <row r="9" spans="1:4" s="56" customFormat="1" ht="19.5" thickBot="1" x14ac:dyDescent="0.35">
      <c r="A9" s="79" t="s">
        <v>190</v>
      </c>
      <c r="B9" s="76">
        <f>IF(B7="YES",INDEX('Berm Reductions'!G4:I33,MATCH(B5,'Berm Reductions'!A4:A33,0),MATCH('(STEP 1) Baseline Conditions'!B6,'Berm Reductions'!G3:I3,0)),INDEX('Buffer Reductions'!E4:G33,MATCH(B5,'Buffer Reductions'!A4:A33,0),MATCH('(STEP 1) Baseline Conditions'!B6,'Buffer Reductions'!E3:G3,0)))</f>
        <v>0.45099999999999996</v>
      </c>
    </row>
    <row r="10" spans="1:4" s="56" customFormat="1" ht="18.75" x14ac:dyDescent="0.3">
      <c r="D10" s="51"/>
    </row>
    <row r="11" spans="1:4" ht="15.75" thickBot="1" x14ac:dyDescent="0.3">
      <c r="A11" s="56"/>
      <c r="B11" s="56"/>
    </row>
    <row r="12" spans="1:4" ht="19.5" thickBot="1" x14ac:dyDescent="0.35">
      <c r="A12" s="159" t="s">
        <v>334</v>
      </c>
      <c r="B12" s="160"/>
    </row>
    <row r="13" spans="1:4" s="56" customFormat="1" ht="16.5" thickBot="1" x14ac:dyDescent="0.3">
      <c r="A13" s="77" t="s">
        <v>269</v>
      </c>
      <c r="B13" s="95" t="s">
        <v>272</v>
      </c>
    </row>
    <row r="14" spans="1:4" ht="16.5" thickBot="1" x14ac:dyDescent="0.3">
      <c r="A14" s="78" t="s">
        <v>230</v>
      </c>
      <c r="B14" s="97" t="s">
        <v>237</v>
      </c>
    </row>
    <row r="15" spans="1:4" ht="16.5" thickBot="1" x14ac:dyDescent="0.3">
      <c r="A15" s="78" t="s">
        <v>229</v>
      </c>
      <c r="B15" s="96" t="s">
        <v>396</v>
      </c>
    </row>
    <row r="16" spans="1:4" ht="19.5" thickBot="1" x14ac:dyDescent="0.35">
      <c r="A16" s="79" t="s">
        <v>349</v>
      </c>
      <c r="B16" s="76">
        <f>IF(B13="16.5' (Public Ditch)", B8*(('Dosskey Coefficients'!F12)/100), '(STEP 1) Baseline Conditions'!B8*(('Dosskey Coefficients'!F13)/100))</f>
        <v>2.08</v>
      </c>
    </row>
    <row r="17" spans="1:7" ht="19.5" thickBot="1" x14ac:dyDescent="0.35">
      <c r="A17" s="79" t="s">
        <v>350</v>
      </c>
      <c r="B17" s="76">
        <f>IF(B13="16.5' (Public Ditch)",B9*(('Dosskey Coefficients'!I12)/100), B9*(('Dosskey Coefficients'!I13)/100))</f>
        <v>0.43379578914861372</v>
      </c>
    </row>
    <row r="19" spans="1:7" ht="15.75" thickBot="1" x14ac:dyDescent="0.3"/>
    <row r="20" spans="1:7" ht="19.5" thickBot="1" x14ac:dyDescent="0.35">
      <c r="A20" s="163" t="s">
        <v>353</v>
      </c>
      <c r="B20" s="164"/>
    </row>
    <row r="21" spans="1:7" s="56" customFormat="1" x14ac:dyDescent="0.25"/>
    <row r="22" spans="1:7" x14ac:dyDescent="0.25">
      <c r="G22" s="67" t="b">
        <v>0</v>
      </c>
    </row>
    <row r="23" spans="1:7" x14ac:dyDescent="0.25">
      <c r="G23" s="67" t="b">
        <v>0</v>
      </c>
    </row>
    <row r="24" spans="1:7" x14ac:dyDescent="0.25">
      <c r="G24" s="67" t="b">
        <v>0</v>
      </c>
    </row>
    <row r="25" spans="1:7" x14ac:dyDescent="0.25">
      <c r="G25" s="67" t="b">
        <v>0</v>
      </c>
    </row>
    <row r="26" spans="1:7" x14ac:dyDescent="0.25">
      <c r="G26" s="67" t="b">
        <v>0</v>
      </c>
    </row>
    <row r="27" spans="1:7" s="56" customFormat="1" x14ac:dyDescent="0.25">
      <c r="G27" s="67" t="b">
        <v>0</v>
      </c>
    </row>
    <row r="28" spans="1:7" x14ac:dyDescent="0.25">
      <c r="G28" s="67" t="b">
        <v>0</v>
      </c>
    </row>
    <row r="29" spans="1:7" x14ac:dyDescent="0.25">
      <c r="G29" s="67" t="b">
        <v>0</v>
      </c>
    </row>
    <row r="30" spans="1:7" x14ac:dyDescent="0.25">
      <c r="G30" s="67" t="b">
        <v>0</v>
      </c>
    </row>
    <row r="31" spans="1:7" x14ac:dyDescent="0.25">
      <c r="G31" s="67" t="b">
        <v>0</v>
      </c>
    </row>
    <row r="32" spans="1:7" x14ac:dyDescent="0.25">
      <c r="G32" s="67" t="b">
        <v>0</v>
      </c>
    </row>
    <row r="33" spans="3:7" s="56" customFormat="1" x14ac:dyDescent="0.25">
      <c r="G33" s="67" t="b">
        <v>0</v>
      </c>
    </row>
    <row r="34" spans="3:7" s="56" customFormat="1" x14ac:dyDescent="0.25">
      <c r="F34"/>
      <c r="G34" s="67" t="b">
        <v>0</v>
      </c>
    </row>
    <row r="35" spans="3:7" s="56" customFormat="1" x14ac:dyDescent="0.25">
      <c r="G35" s="67" t="b">
        <v>0</v>
      </c>
    </row>
    <row r="41" spans="3:7" x14ac:dyDescent="0.25">
      <c r="C41" s="68"/>
      <c r="D41" s="68"/>
    </row>
  </sheetData>
  <sheetProtection password="C2EC" sheet="1" objects="1" scenarios="1" selectLockedCells="1"/>
  <mergeCells count="5">
    <mergeCell ref="A4:B4"/>
    <mergeCell ref="A12:B12"/>
    <mergeCell ref="A2:B2"/>
    <mergeCell ref="A1:B1"/>
    <mergeCell ref="A20:B20"/>
  </mergeCells>
  <pageMargins left="0.7" right="0.7" top="0.75" bottom="0.75" header="0.3" footer="0.3"/>
  <pageSetup orientation="portrait" verticalDpi="0" r:id="rId1"/>
  <extLst>
    <ext xmlns:x14="http://schemas.microsoft.com/office/spreadsheetml/2009/9/main" uri="{CCE6A557-97BC-4b89-ADB6-D9C93CAAB3DF}">
      <x14:dataValidations xmlns:xm="http://schemas.microsoft.com/office/excel/2006/main" count="6">
        <x14:dataValidation type="list" allowBlank="1" showInputMessage="1" showErrorMessage="1" promptTitle="Agroecoregion">
          <x14:formula1>
            <xm:f>'270 Baseline RESULTS'!$A$4:$A$33</xm:f>
          </x14:formula1>
          <xm:sqref>B5</xm:sqref>
        </x14:dataValidation>
        <x14:dataValidation type="list" allowBlank="1" showInputMessage="1" showErrorMessage="1">
          <x14:formula1>
            <xm:f>'Mgmt condition'!$B$1:$D$1</xm:f>
          </x14:formula1>
          <xm:sqref>B6</xm:sqref>
        </x14:dataValidation>
        <x14:dataValidation type="list" allowBlank="1" showInputMessage="1" showErrorMessage="1">
          <x14:formula1>
            <xm:f>'Mgmt condition'!$G$2:$G$3</xm:f>
          </x14:formula1>
          <xm:sqref>B7</xm:sqref>
        </x14:dataValidation>
        <x14:dataValidation type="list" allowBlank="1" showInputMessage="1" showErrorMessage="1">
          <x14:formula1>
            <xm:f>'Dosskey Coefficients'!$K$2:$K$20</xm:f>
          </x14:formula1>
          <xm:sqref>B14</xm:sqref>
        </x14:dataValidation>
        <x14:dataValidation type="list" allowBlank="1" showInputMessage="1" showErrorMessage="1">
          <x14:formula1>
            <xm:f>'Dosskey Coefficients'!$O$2:$O$4</xm:f>
          </x14:formula1>
          <xm:sqref>B15</xm:sqref>
        </x14:dataValidation>
        <x14:dataValidation type="list" allowBlank="1" showInputMessage="1" showErrorMessage="1">
          <x14:formula1>
            <xm:f>'Dosskey Coefficients'!$R$2:$R$3</xm:f>
          </x14:formula1>
          <xm:sqref>B13</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2" tint="-0.89999084444715716"/>
  </sheetPr>
  <dimension ref="A1:K540"/>
  <sheetViews>
    <sheetView workbookViewId="0">
      <selection activeCell="Z41" sqref="Z41"/>
    </sheetView>
  </sheetViews>
  <sheetFormatPr defaultRowHeight="15" customHeight="1" x14ac:dyDescent="0.25"/>
  <cols>
    <col min="1" max="1" width="9.42578125" bestFit="1" customWidth="1"/>
    <col min="2" max="2" width="7.28515625" bestFit="1" customWidth="1"/>
    <col min="3" max="3" width="27.42578125" bestFit="1" customWidth="1"/>
    <col min="4" max="4" width="18.5703125" bestFit="1" customWidth="1"/>
    <col min="5" max="5" width="26.5703125" bestFit="1" customWidth="1"/>
    <col min="8" max="8" width="17.85546875" bestFit="1" customWidth="1"/>
    <col min="9" max="9" width="17.7109375" bestFit="1" customWidth="1"/>
    <col min="10" max="10" width="14.140625" bestFit="1" customWidth="1"/>
    <col min="11" max="11" width="9.42578125" bestFit="1" customWidth="1"/>
  </cols>
  <sheetData>
    <row r="1" spans="1:11" ht="15" customHeight="1" x14ac:dyDescent="0.25">
      <c r="A1" t="s">
        <v>83</v>
      </c>
      <c r="B1" t="s">
        <v>84</v>
      </c>
      <c r="C1" t="s">
        <v>48</v>
      </c>
      <c r="D1" t="s">
        <v>85</v>
      </c>
      <c r="E1" t="s">
        <v>86</v>
      </c>
      <c r="H1" t="s">
        <v>96</v>
      </c>
      <c r="I1" t="s">
        <v>94</v>
      </c>
      <c r="J1" t="s">
        <v>95</v>
      </c>
      <c r="K1" t="s">
        <v>100</v>
      </c>
    </row>
    <row r="2" spans="1:11" ht="15" customHeight="1" x14ac:dyDescent="0.25">
      <c r="A2">
        <v>2017</v>
      </c>
      <c r="B2">
        <v>73</v>
      </c>
      <c r="C2" t="s">
        <v>87</v>
      </c>
      <c r="D2" t="s">
        <v>292</v>
      </c>
      <c r="E2" s="6">
        <f ca="1">K2</f>
        <v>75.200918350205114</v>
      </c>
      <c r="G2" s="4" t="s">
        <v>101</v>
      </c>
      <c r="H2" s="5" t="s">
        <v>102</v>
      </c>
      <c r="I2" t="s">
        <v>97</v>
      </c>
      <c r="J2">
        <v>3</v>
      </c>
      <c r="K2" s="6">
        <f ca="1">INDIRECT(CONCATENATE("'P Fertilizer Rate'!",I2,J2))</f>
        <v>75.200918350205114</v>
      </c>
    </row>
    <row r="3" spans="1:11" ht="15" customHeight="1" x14ac:dyDescent="0.25">
      <c r="K3" s="6" t="e">
        <f t="shared" ref="K3:K18" ca="1" si="0">INDIRECT(CONCATENATE("'P Fertilizer Rate'!",I3,J3))</f>
        <v>#REF!</v>
      </c>
    </row>
    <row r="4" spans="1:11" ht="15" customHeight="1" x14ac:dyDescent="0.25">
      <c r="A4">
        <v>2017</v>
      </c>
      <c r="B4">
        <v>73</v>
      </c>
      <c r="C4" t="s">
        <v>87</v>
      </c>
      <c r="D4" t="s">
        <v>293</v>
      </c>
      <c r="E4" s="6">
        <f ca="1">K4</f>
        <v>75.200918350205114</v>
      </c>
      <c r="G4" s="4" t="s">
        <v>101</v>
      </c>
      <c r="H4" s="4"/>
      <c r="I4" t="s">
        <v>97</v>
      </c>
      <c r="J4">
        <v>3</v>
      </c>
      <c r="K4" s="6">
        <f t="shared" ca="1" si="0"/>
        <v>75.200918350205114</v>
      </c>
    </row>
    <row r="5" spans="1:11" ht="15" customHeight="1" x14ac:dyDescent="0.25">
      <c r="K5" s="6" t="e">
        <f t="shared" ca="1" si="0"/>
        <v>#REF!</v>
      </c>
    </row>
    <row r="6" spans="1:11" ht="15" customHeight="1" x14ac:dyDescent="0.25">
      <c r="A6">
        <v>2017</v>
      </c>
      <c r="B6">
        <v>73</v>
      </c>
      <c r="C6" t="s">
        <v>87</v>
      </c>
      <c r="D6" t="s">
        <v>294</v>
      </c>
      <c r="E6" s="6">
        <f ca="1">K6</f>
        <v>75.200918350205114</v>
      </c>
      <c r="H6" s="4"/>
      <c r="I6" t="s">
        <v>97</v>
      </c>
      <c r="J6">
        <v>3</v>
      </c>
      <c r="K6" s="6">
        <f t="shared" ca="1" si="0"/>
        <v>75.200918350205114</v>
      </c>
    </row>
    <row r="7" spans="1:11" ht="15" customHeight="1" x14ac:dyDescent="0.25">
      <c r="K7" s="6" t="e">
        <f t="shared" ca="1" si="0"/>
        <v>#REF!</v>
      </c>
    </row>
    <row r="8" spans="1:11" ht="15" customHeight="1" x14ac:dyDescent="0.25">
      <c r="A8">
        <v>2017</v>
      </c>
      <c r="B8">
        <v>73</v>
      </c>
      <c r="C8" t="s">
        <v>87</v>
      </c>
      <c r="D8" t="s">
        <v>74</v>
      </c>
      <c r="E8" s="6">
        <f ca="1">K8</f>
        <v>60.160734680164097</v>
      </c>
      <c r="H8" s="4"/>
      <c r="I8" t="s">
        <v>98</v>
      </c>
      <c r="J8">
        <v>3</v>
      </c>
      <c r="K8" s="6">
        <f t="shared" ca="1" si="0"/>
        <v>60.160734680164097</v>
      </c>
    </row>
    <row r="9" spans="1:11" ht="15" customHeight="1" x14ac:dyDescent="0.25">
      <c r="K9" s="6" t="e">
        <f t="shared" ca="1" si="0"/>
        <v>#REF!</v>
      </c>
    </row>
    <row r="10" spans="1:11" ht="15" customHeight="1" x14ac:dyDescent="0.25">
      <c r="A10">
        <v>2017</v>
      </c>
      <c r="B10">
        <v>73</v>
      </c>
      <c r="C10" t="s">
        <v>87</v>
      </c>
      <c r="D10" t="s">
        <v>75</v>
      </c>
      <c r="E10" s="6">
        <f ca="1">K10</f>
        <v>60.160734680164097</v>
      </c>
      <c r="H10" s="4"/>
      <c r="I10" t="s">
        <v>98</v>
      </c>
      <c r="J10">
        <v>3</v>
      </c>
      <c r="K10" s="6">
        <f t="shared" ca="1" si="0"/>
        <v>60.160734680164097</v>
      </c>
    </row>
    <row r="11" spans="1:11" ht="15" customHeight="1" x14ac:dyDescent="0.25">
      <c r="K11" s="6" t="e">
        <f t="shared" ca="1" si="0"/>
        <v>#REF!</v>
      </c>
    </row>
    <row r="12" spans="1:11" ht="15" customHeight="1" x14ac:dyDescent="0.25">
      <c r="A12">
        <v>2017</v>
      </c>
      <c r="B12">
        <v>73</v>
      </c>
      <c r="C12" t="s">
        <v>87</v>
      </c>
      <c r="D12" t="s">
        <v>76</v>
      </c>
      <c r="E12" s="6">
        <f ca="1">K12</f>
        <v>60.160734680164097</v>
      </c>
      <c r="H12" s="4"/>
      <c r="I12" t="s">
        <v>98</v>
      </c>
      <c r="J12">
        <v>3</v>
      </c>
      <c r="K12" s="6">
        <f t="shared" ca="1" si="0"/>
        <v>60.160734680164097</v>
      </c>
    </row>
    <row r="13" spans="1:11" ht="15" customHeight="1" x14ac:dyDescent="0.25">
      <c r="K13" s="6" t="e">
        <f t="shared" ca="1" si="0"/>
        <v>#REF!</v>
      </c>
    </row>
    <row r="14" spans="1:11" ht="15" customHeight="1" x14ac:dyDescent="0.25">
      <c r="A14">
        <v>2017</v>
      </c>
      <c r="B14">
        <v>73</v>
      </c>
      <c r="C14" t="s">
        <v>87</v>
      </c>
      <c r="D14" t="s">
        <v>77</v>
      </c>
      <c r="E14" s="6">
        <f ca="1">K14</f>
        <v>20</v>
      </c>
      <c r="H14" s="4"/>
      <c r="I14" t="s">
        <v>99</v>
      </c>
      <c r="J14">
        <v>3</v>
      </c>
      <c r="K14" s="6">
        <f t="shared" ca="1" si="0"/>
        <v>20</v>
      </c>
    </row>
    <row r="15" spans="1:11" ht="15" customHeight="1" x14ac:dyDescent="0.25">
      <c r="K15" s="6" t="e">
        <f t="shared" ca="1" si="0"/>
        <v>#REF!</v>
      </c>
    </row>
    <row r="16" spans="1:11" ht="15" customHeight="1" x14ac:dyDescent="0.25">
      <c r="A16">
        <v>2017</v>
      </c>
      <c r="B16">
        <v>73</v>
      </c>
      <c r="C16" t="s">
        <v>87</v>
      </c>
      <c r="D16" t="s">
        <v>78</v>
      </c>
      <c r="E16" s="6">
        <f ca="1">K16</f>
        <v>20</v>
      </c>
      <c r="H16" s="4"/>
      <c r="I16" t="s">
        <v>99</v>
      </c>
      <c r="J16">
        <v>3</v>
      </c>
      <c r="K16" s="6">
        <f t="shared" ca="1" si="0"/>
        <v>20</v>
      </c>
    </row>
    <row r="17" spans="1:11" ht="15" customHeight="1" x14ac:dyDescent="0.25">
      <c r="K17" s="6" t="e">
        <f t="shared" ca="1" si="0"/>
        <v>#REF!</v>
      </c>
    </row>
    <row r="18" spans="1:11" ht="15" customHeight="1" x14ac:dyDescent="0.25">
      <c r="A18">
        <v>2017</v>
      </c>
      <c r="B18">
        <v>73</v>
      </c>
      <c r="C18" t="s">
        <v>87</v>
      </c>
      <c r="D18" t="s">
        <v>79</v>
      </c>
      <c r="E18" s="6">
        <f t="shared" ref="E18:E80" ca="1" si="1">K18</f>
        <v>20</v>
      </c>
      <c r="H18" s="4"/>
      <c r="I18" t="s">
        <v>99</v>
      </c>
      <c r="J18">
        <v>3</v>
      </c>
      <c r="K18" s="6">
        <f t="shared" ca="1" si="0"/>
        <v>20</v>
      </c>
    </row>
    <row r="20" spans="1:11" ht="15" customHeight="1" x14ac:dyDescent="0.25">
      <c r="A20">
        <v>2017</v>
      </c>
      <c r="B20">
        <v>2</v>
      </c>
      <c r="C20" t="s">
        <v>19</v>
      </c>
      <c r="D20" t="s">
        <v>292</v>
      </c>
      <c r="E20" s="6">
        <f t="shared" ca="1" si="1"/>
        <v>31.579359773665992</v>
      </c>
      <c r="H20" s="4"/>
      <c r="I20" t="s">
        <v>97</v>
      </c>
      <c r="J20">
        <v>4</v>
      </c>
      <c r="K20" s="6">
        <f ca="1">INDIRECT(CONCATENATE("'P Fertilizer Rate'!",I20,J20))</f>
        <v>31.579359773665992</v>
      </c>
    </row>
    <row r="21" spans="1:11" ht="15" customHeight="1" x14ac:dyDescent="0.25">
      <c r="K21" s="6" t="e">
        <f t="shared" ref="K21:K36" ca="1" si="2">INDIRECT(CONCATENATE("'P Fertilizer Rate'!",I21,J21))</f>
        <v>#REF!</v>
      </c>
    </row>
    <row r="22" spans="1:11" ht="15" customHeight="1" x14ac:dyDescent="0.25">
      <c r="A22">
        <v>2017</v>
      </c>
      <c r="B22">
        <v>2</v>
      </c>
      <c r="C22" t="s">
        <v>19</v>
      </c>
      <c r="D22" t="s">
        <v>293</v>
      </c>
      <c r="E22" s="6">
        <f t="shared" ca="1" si="1"/>
        <v>31.579359773665992</v>
      </c>
      <c r="H22" s="4"/>
      <c r="I22" t="s">
        <v>97</v>
      </c>
      <c r="J22">
        <v>4</v>
      </c>
      <c r="K22" s="6">
        <f t="shared" ca="1" si="2"/>
        <v>31.579359773665992</v>
      </c>
    </row>
    <row r="23" spans="1:11" ht="15" customHeight="1" x14ac:dyDescent="0.25">
      <c r="K23" s="6" t="e">
        <f t="shared" ca="1" si="2"/>
        <v>#REF!</v>
      </c>
    </row>
    <row r="24" spans="1:11" ht="15" customHeight="1" x14ac:dyDescent="0.25">
      <c r="A24">
        <v>2017</v>
      </c>
      <c r="B24">
        <v>2</v>
      </c>
      <c r="C24" t="s">
        <v>19</v>
      </c>
      <c r="D24" t="s">
        <v>294</v>
      </c>
      <c r="E24" s="6">
        <f t="shared" ca="1" si="1"/>
        <v>31.579359773665992</v>
      </c>
      <c r="H24" s="4"/>
      <c r="I24" t="s">
        <v>97</v>
      </c>
      <c r="J24">
        <v>4</v>
      </c>
      <c r="K24" s="6">
        <f t="shared" ca="1" si="2"/>
        <v>31.579359773665992</v>
      </c>
    </row>
    <row r="25" spans="1:11" ht="15" customHeight="1" x14ac:dyDescent="0.25">
      <c r="K25" s="6" t="e">
        <f t="shared" ca="1" si="2"/>
        <v>#REF!</v>
      </c>
    </row>
    <row r="26" spans="1:11" ht="15" customHeight="1" x14ac:dyDescent="0.25">
      <c r="A26">
        <v>2017</v>
      </c>
      <c r="B26">
        <v>2</v>
      </c>
      <c r="C26" t="s">
        <v>19</v>
      </c>
      <c r="D26" t="s">
        <v>74</v>
      </c>
      <c r="E26" s="6">
        <f t="shared" ca="1" si="1"/>
        <v>25.263487818932795</v>
      </c>
      <c r="H26" s="4"/>
      <c r="I26" t="s">
        <v>98</v>
      </c>
      <c r="J26">
        <v>4</v>
      </c>
      <c r="K26" s="6">
        <f t="shared" ca="1" si="2"/>
        <v>25.263487818932795</v>
      </c>
    </row>
    <row r="27" spans="1:11" ht="15" customHeight="1" x14ac:dyDescent="0.25">
      <c r="K27" s="6" t="e">
        <f t="shared" ca="1" si="2"/>
        <v>#REF!</v>
      </c>
    </row>
    <row r="28" spans="1:11" ht="15" customHeight="1" x14ac:dyDescent="0.25">
      <c r="A28">
        <v>2017</v>
      </c>
      <c r="B28">
        <v>2</v>
      </c>
      <c r="C28" t="s">
        <v>19</v>
      </c>
      <c r="D28" t="s">
        <v>75</v>
      </c>
      <c r="E28" s="6">
        <f t="shared" ca="1" si="1"/>
        <v>25.263487818932795</v>
      </c>
      <c r="H28" s="4"/>
      <c r="I28" t="s">
        <v>98</v>
      </c>
      <c r="J28">
        <v>4</v>
      </c>
      <c r="K28" s="6">
        <f t="shared" ca="1" si="2"/>
        <v>25.263487818932795</v>
      </c>
    </row>
    <row r="29" spans="1:11" ht="15" customHeight="1" x14ac:dyDescent="0.25">
      <c r="K29" s="6" t="e">
        <f t="shared" ca="1" si="2"/>
        <v>#REF!</v>
      </c>
    </row>
    <row r="30" spans="1:11" ht="15" customHeight="1" x14ac:dyDescent="0.25">
      <c r="A30">
        <v>2017</v>
      </c>
      <c r="B30">
        <v>2</v>
      </c>
      <c r="C30" t="s">
        <v>19</v>
      </c>
      <c r="D30" t="s">
        <v>76</v>
      </c>
      <c r="E30" s="6">
        <f t="shared" ca="1" si="1"/>
        <v>25.263487818932795</v>
      </c>
      <c r="H30" s="4"/>
      <c r="I30" t="s">
        <v>98</v>
      </c>
      <c r="J30">
        <v>4</v>
      </c>
      <c r="K30" s="6">
        <f t="shared" ca="1" si="2"/>
        <v>25.263487818932795</v>
      </c>
    </row>
    <row r="31" spans="1:11" ht="15" customHeight="1" x14ac:dyDescent="0.25">
      <c r="K31" s="6" t="e">
        <f t="shared" ca="1" si="2"/>
        <v>#REF!</v>
      </c>
    </row>
    <row r="32" spans="1:11" ht="15" customHeight="1" x14ac:dyDescent="0.25">
      <c r="A32">
        <v>2017</v>
      </c>
      <c r="B32">
        <v>2</v>
      </c>
      <c r="C32" t="s">
        <v>19</v>
      </c>
      <c r="D32" t="s">
        <v>77</v>
      </c>
      <c r="E32" s="6">
        <f t="shared" ca="1" si="1"/>
        <v>20</v>
      </c>
      <c r="H32" s="4"/>
      <c r="I32" t="s">
        <v>99</v>
      </c>
      <c r="J32">
        <v>4</v>
      </c>
      <c r="K32" s="6">
        <f t="shared" ca="1" si="2"/>
        <v>20</v>
      </c>
    </row>
    <row r="33" spans="1:11" ht="15" customHeight="1" x14ac:dyDescent="0.25">
      <c r="K33" s="6" t="e">
        <f t="shared" ca="1" si="2"/>
        <v>#REF!</v>
      </c>
    </row>
    <row r="34" spans="1:11" ht="15" customHeight="1" x14ac:dyDescent="0.25">
      <c r="A34">
        <v>2017</v>
      </c>
      <c r="B34">
        <v>2</v>
      </c>
      <c r="C34" t="s">
        <v>19</v>
      </c>
      <c r="D34" t="s">
        <v>78</v>
      </c>
      <c r="E34" s="6">
        <f t="shared" ca="1" si="1"/>
        <v>20</v>
      </c>
      <c r="H34" s="4"/>
      <c r="I34" t="s">
        <v>99</v>
      </c>
      <c r="J34">
        <v>4</v>
      </c>
      <c r="K34" s="6">
        <f t="shared" ca="1" si="2"/>
        <v>20</v>
      </c>
    </row>
    <row r="35" spans="1:11" ht="15" customHeight="1" x14ac:dyDescent="0.25">
      <c r="K35" s="6" t="e">
        <f t="shared" ca="1" si="2"/>
        <v>#REF!</v>
      </c>
    </row>
    <row r="36" spans="1:11" ht="15" customHeight="1" x14ac:dyDescent="0.25">
      <c r="A36">
        <v>2017</v>
      </c>
      <c r="B36">
        <v>2</v>
      </c>
      <c r="C36" t="s">
        <v>19</v>
      </c>
      <c r="D36" t="s">
        <v>79</v>
      </c>
      <c r="E36" s="6">
        <f t="shared" ca="1" si="1"/>
        <v>20</v>
      </c>
      <c r="H36" s="4"/>
      <c r="I36" t="s">
        <v>99</v>
      </c>
      <c r="J36">
        <v>4</v>
      </c>
      <c r="K36" s="6">
        <f t="shared" ca="1" si="2"/>
        <v>20</v>
      </c>
    </row>
    <row r="38" spans="1:11" ht="15" customHeight="1" x14ac:dyDescent="0.25">
      <c r="A38">
        <v>2017</v>
      </c>
      <c r="B38">
        <v>79</v>
      </c>
      <c r="C38" t="s">
        <v>20</v>
      </c>
      <c r="D38" t="s">
        <v>292</v>
      </c>
      <c r="E38" s="6">
        <f t="shared" ca="1" si="1"/>
        <v>82.64315848764285</v>
      </c>
      <c r="I38" t="s">
        <v>97</v>
      </c>
      <c r="J38">
        <v>5</v>
      </c>
      <c r="K38" s="6">
        <f t="shared" ref="K38:K90" ca="1" si="3">INDIRECT(CONCATENATE("'P Fertilizer Rate'!",I38,J38))</f>
        <v>82.64315848764285</v>
      </c>
    </row>
    <row r="39" spans="1:11" ht="15" customHeight="1" x14ac:dyDescent="0.25">
      <c r="K39" s="6" t="e">
        <f t="shared" ca="1" si="3"/>
        <v>#REF!</v>
      </c>
    </row>
    <row r="40" spans="1:11" ht="15" customHeight="1" x14ac:dyDescent="0.25">
      <c r="A40">
        <v>2017</v>
      </c>
      <c r="B40">
        <v>79</v>
      </c>
      <c r="C40" t="s">
        <v>20</v>
      </c>
      <c r="D40" t="s">
        <v>293</v>
      </c>
      <c r="E40" s="6">
        <f t="shared" ca="1" si="1"/>
        <v>82.64315848764285</v>
      </c>
      <c r="I40" t="s">
        <v>97</v>
      </c>
      <c r="J40">
        <v>5</v>
      </c>
      <c r="K40" s="6">
        <f t="shared" ca="1" si="3"/>
        <v>82.64315848764285</v>
      </c>
    </row>
    <row r="41" spans="1:11" ht="15" customHeight="1" x14ac:dyDescent="0.25">
      <c r="K41" s="6" t="e">
        <f t="shared" ca="1" si="3"/>
        <v>#REF!</v>
      </c>
    </row>
    <row r="42" spans="1:11" ht="15" customHeight="1" x14ac:dyDescent="0.25">
      <c r="A42">
        <v>2017</v>
      </c>
      <c r="B42">
        <v>79</v>
      </c>
      <c r="C42" t="s">
        <v>20</v>
      </c>
      <c r="D42" t="s">
        <v>294</v>
      </c>
      <c r="E42" s="6">
        <f t="shared" ca="1" si="1"/>
        <v>82.64315848764285</v>
      </c>
      <c r="I42" t="s">
        <v>97</v>
      </c>
      <c r="J42">
        <v>5</v>
      </c>
      <c r="K42" s="6">
        <f t="shared" ca="1" si="3"/>
        <v>82.64315848764285</v>
      </c>
    </row>
    <row r="43" spans="1:11" ht="15" customHeight="1" x14ac:dyDescent="0.25">
      <c r="K43" s="6" t="e">
        <f t="shared" ca="1" si="3"/>
        <v>#REF!</v>
      </c>
    </row>
    <row r="44" spans="1:11" ht="15" customHeight="1" x14ac:dyDescent="0.25">
      <c r="A44">
        <v>2017</v>
      </c>
      <c r="B44">
        <v>79</v>
      </c>
      <c r="C44" t="s">
        <v>20</v>
      </c>
      <c r="D44" t="s">
        <v>74</v>
      </c>
      <c r="E44" s="6">
        <f t="shared" ca="1" si="1"/>
        <v>66.114526790114283</v>
      </c>
      <c r="I44" t="s">
        <v>98</v>
      </c>
      <c r="J44">
        <v>5</v>
      </c>
      <c r="K44" s="6">
        <f t="shared" ca="1" si="3"/>
        <v>66.114526790114283</v>
      </c>
    </row>
    <row r="45" spans="1:11" ht="15" customHeight="1" x14ac:dyDescent="0.25">
      <c r="K45" s="6" t="e">
        <f t="shared" ca="1" si="3"/>
        <v>#REF!</v>
      </c>
    </row>
    <row r="46" spans="1:11" ht="15" customHeight="1" x14ac:dyDescent="0.25">
      <c r="A46">
        <v>2017</v>
      </c>
      <c r="B46">
        <v>79</v>
      </c>
      <c r="C46" t="s">
        <v>20</v>
      </c>
      <c r="D46" t="s">
        <v>75</v>
      </c>
      <c r="E46" s="6">
        <f t="shared" ca="1" si="1"/>
        <v>66.114526790114283</v>
      </c>
      <c r="I46" t="s">
        <v>98</v>
      </c>
      <c r="J46">
        <v>5</v>
      </c>
      <c r="K46" s="6">
        <f t="shared" ca="1" si="3"/>
        <v>66.114526790114283</v>
      </c>
    </row>
    <row r="47" spans="1:11" ht="15" customHeight="1" x14ac:dyDescent="0.25">
      <c r="K47" s="6" t="e">
        <f t="shared" ca="1" si="3"/>
        <v>#REF!</v>
      </c>
    </row>
    <row r="48" spans="1:11" ht="15" customHeight="1" x14ac:dyDescent="0.25">
      <c r="A48">
        <v>2017</v>
      </c>
      <c r="B48">
        <v>79</v>
      </c>
      <c r="C48" t="s">
        <v>20</v>
      </c>
      <c r="D48" t="s">
        <v>76</v>
      </c>
      <c r="E48" s="6">
        <f t="shared" ca="1" si="1"/>
        <v>66.114526790114283</v>
      </c>
      <c r="I48" t="s">
        <v>98</v>
      </c>
      <c r="J48">
        <v>5</v>
      </c>
      <c r="K48" s="6">
        <f t="shared" ca="1" si="3"/>
        <v>66.114526790114283</v>
      </c>
    </row>
    <row r="49" spans="1:11" ht="15" customHeight="1" x14ac:dyDescent="0.25">
      <c r="K49" s="6" t="e">
        <f t="shared" ca="1" si="3"/>
        <v>#REF!</v>
      </c>
    </row>
    <row r="50" spans="1:11" ht="15" customHeight="1" x14ac:dyDescent="0.25">
      <c r="A50">
        <v>2017</v>
      </c>
      <c r="B50">
        <v>79</v>
      </c>
      <c r="C50" t="s">
        <v>20</v>
      </c>
      <c r="D50" t="s">
        <v>77</v>
      </c>
      <c r="E50" s="6">
        <f t="shared" ca="1" si="1"/>
        <v>20</v>
      </c>
      <c r="I50" t="s">
        <v>99</v>
      </c>
      <c r="J50">
        <v>5</v>
      </c>
      <c r="K50" s="6">
        <f t="shared" ca="1" si="3"/>
        <v>20</v>
      </c>
    </row>
    <row r="51" spans="1:11" ht="15" customHeight="1" x14ac:dyDescent="0.25">
      <c r="K51" s="6" t="e">
        <f t="shared" ca="1" si="3"/>
        <v>#REF!</v>
      </c>
    </row>
    <row r="52" spans="1:11" ht="15" customHeight="1" x14ac:dyDescent="0.25">
      <c r="A52">
        <v>2017</v>
      </c>
      <c r="B52">
        <v>79</v>
      </c>
      <c r="C52" t="s">
        <v>20</v>
      </c>
      <c r="D52" t="s">
        <v>78</v>
      </c>
      <c r="E52" s="6">
        <f t="shared" ca="1" si="1"/>
        <v>20</v>
      </c>
      <c r="I52" t="s">
        <v>99</v>
      </c>
      <c r="J52">
        <v>5</v>
      </c>
      <c r="K52" s="6">
        <f t="shared" ca="1" si="3"/>
        <v>20</v>
      </c>
    </row>
    <row r="53" spans="1:11" ht="15" customHeight="1" x14ac:dyDescent="0.25">
      <c r="K53" s="6" t="e">
        <f t="shared" ca="1" si="3"/>
        <v>#REF!</v>
      </c>
    </row>
    <row r="54" spans="1:11" ht="15" customHeight="1" x14ac:dyDescent="0.25">
      <c r="A54">
        <v>2017</v>
      </c>
      <c r="B54">
        <v>79</v>
      </c>
      <c r="C54" t="s">
        <v>20</v>
      </c>
      <c r="D54" t="s">
        <v>79</v>
      </c>
      <c r="E54" s="6">
        <f t="shared" ca="1" si="1"/>
        <v>20</v>
      </c>
      <c r="I54" t="s">
        <v>99</v>
      </c>
      <c r="J54">
        <v>5</v>
      </c>
      <c r="K54" s="6">
        <f t="shared" ca="1" si="3"/>
        <v>20</v>
      </c>
    </row>
    <row r="56" spans="1:11" ht="15" customHeight="1" x14ac:dyDescent="0.25">
      <c r="A56">
        <v>2017</v>
      </c>
      <c r="B56">
        <v>77</v>
      </c>
      <c r="C56" t="s">
        <v>21</v>
      </c>
      <c r="D56" t="s">
        <v>292</v>
      </c>
      <c r="E56" s="6">
        <f t="shared" ca="1" si="1"/>
        <v>62.438076111232874</v>
      </c>
      <c r="I56" t="s">
        <v>97</v>
      </c>
      <c r="J56">
        <f>J38+1</f>
        <v>6</v>
      </c>
      <c r="K56" s="6">
        <f t="shared" ref="K56:K108" ca="1" si="4">INDIRECT(CONCATENATE("'P Fertilizer Rate'!",I56,J56))</f>
        <v>62.438076111232874</v>
      </c>
    </row>
    <row r="57" spans="1:11" ht="15" customHeight="1" x14ac:dyDescent="0.25">
      <c r="K57" s="6" t="e">
        <f t="shared" ca="1" si="4"/>
        <v>#REF!</v>
      </c>
    </row>
    <row r="58" spans="1:11" ht="15" customHeight="1" x14ac:dyDescent="0.25">
      <c r="A58">
        <v>2017</v>
      </c>
      <c r="B58">
        <v>77</v>
      </c>
      <c r="C58" t="s">
        <v>21</v>
      </c>
      <c r="D58" t="s">
        <v>293</v>
      </c>
      <c r="E58" s="6">
        <f t="shared" ca="1" si="1"/>
        <v>62.438076111232874</v>
      </c>
      <c r="I58" t="s">
        <v>97</v>
      </c>
      <c r="J58">
        <f>J40+1</f>
        <v>6</v>
      </c>
      <c r="K58" s="6">
        <f t="shared" ca="1" si="4"/>
        <v>62.438076111232874</v>
      </c>
    </row>
    <row r="59" spans="1:11" ht="15" customHeight="1" x14ac:dyDescent="0.25">
      <c r="K59" s="6" t="e">
        <f t="shared" ca="1" si="4"/>
        <v>#REF!</v>
      </c>
    </row>
    <row r="60" spans="1:11" ht="15" customHeight="1" x14ac:dyDescent="0.25">
      <c r="A60">
        <v>2017</v>
      </c>
      <c r="B60">
        <v>77</v>
      </c>
      <c r="C60" t="s">
        <v>21</v>
      </c>
      <c r="D60" t="s">
        <v>294</v>
      </c>
      <c r="E60" s="6">
        <f t="shared" ca="1" si="1"/>
        <v>62.438076111232874</v>
      </c>
      <c r="I60" t="s">
        <v>97</v>
      </c>
      <c r="J60">
        <f>J42+1</f>
        <v>6</v>
      </c>
      <c r="K60" s="6">
        <f t="shared" ca="1" si="4"/>
        <v>62.438076111232874</v>
      </c>
    </row>
    <row r="61" spans="1:11" ht="15" customHeight="1" x14ac:dyDescent="0.25">
      <c r="K61" s="6" t="e">
        <f t="shared" ca="1" si="4"/>
        <v>#REF!</v>
      </c>
    </row>
    <row r="62" spans="1:11" ht="15" customHeight="1" x14ac:dyDescent="0.25">
      <c r="A62">
        <v>2017</v>
      </c>
      <c r="B62">
        <v>77</v>
      </c>
      <c r="C62" t="s">
        <v>21</v>
      </c>
      <c r="D62" t="s">
        <v>74</v>
      </c>
      <c r="E62" s="6">
        <f t="shared" ca="1" si="1"/>
        <v>49.950460888986299</v>
      </c>
      <c r="I62" t="s">
        <v>98</v>
      </c>
      <c r="J62">
        <f>J44+1</f>
        <v>6</v>
      </c>
      <c r="K62" s="6">
        <f t="shared" ca="1" si="4"/>
        <v>49.950460888986299</v>
      </c>
    </row>
    <row r="63" spans="1:11" ht="15" customHeight="1" x14ac:dyDescent="0.25">
      <c r="K63" s="6" t="e">
        <f t="shared" ca="1" si="4"/>
        <v>#REF!</v>
      </c>
    </row>
    <row r="64" spans="1:11" ht="15" customHeight="1" x14ac:dyDescent="0.25">
      <c r="A64">
        <v>2017</v>
      </c>
      <c r="B64">
        <v>77</v>
      </c>
      <c r="C64" t="s">
        <v>21</v>
      </c>
      <c r="D64" t="s">
        <v>75</v>
      </c>
      <c r="E64" s="6">
        <f t="shared" ca="1" si="1"/>
        <v>49.950460888986299</v>
      </c>
      <c r="I64" t="s">
        <v>98</v>
      </c>
      <c r="J64">
        <f>J46+1</f>
        <v>6</v>
      </c>
      <c r="K64" s="6">
        <f t="shared" ca="1" si="4"/>
        <v>49.950460888986299</v>
      </c>
    </row>
    <row r="65" spans="1:11" ht="15" customHeight="1" x14ac:dyDescent="0.25">
      <c r="K65" s="6" t="e">
        <f t="shared" ca="1" si="4"/>
        <v>#REF!</v>
      </c>
    </row>
    <row r="66" spans="1:11" ht="15" customHeight="1" x14ac:dyDescent="0.25">
      <c r="A66">
        <v>2017</v>
      </c>
      <c r="B66">
        <v>77</v>
      </c>
      <c r="C66" t="s">
        <v>21</v>
      </c>
      <c r="D66" t="s">
        <v>76</v>
      </c>
      <c r="E66" s="6">
        <f t="shared" ca="1" si="1"/>
        <v>49.950460888986299</v>
      </c>
      <c r="I66" t="s">
        <v>98</v>
      </c>
      <c r="J66">
        <f>J48+1</f>
        <v>6</v>
      </c>
      <c r="K66" s="6">
        <f t="shared" ca="1" si="4"/>
        <v>49.950460888986299</v>
      </c>
    </row>
    <row r="67" spans="1:11" ht="15" customHeight="1" x14ac:dyDescent="0.25">
      <c r="K67" s="6" t="e">
        <f t="shared" ca="1" si="4"/>
        <v>#REF!</v>
      </c>
    </row>
    <row r="68" spans="1:11" ht="15" customHeight="1" x14ac:dyDescent="0.25">
      <c r="A68">
        <v>2017</v>
      </c>
      <c r="B68">
        <v>77</v>
      </c>
      <c r="C68" t="s">
        <v>21</v>
      </c>
      <c r="D68" t="s">
        <v>77</v>
      </c>
      <c r="E68" s="6">
        <f t="shared" ca="1" si="1"/>
        <v>20</v>
      </c>
      <c r="I68" t="s">
        <v>99</v>
      </c>
      <c r="J68">
        <f>J50+1</f>
        <v>6</v>
      </c>
      <c r="K68" s="6">
        <f t="shared" ca="1" si="4"/>
        <v>20</v>
      </c>
    </row>
    <row r="69" spans="1:11" ht="15" customHeight="1" x14ac:dyDescent="0.25">
      <c r="K69" s="6" t="e">
        <f t="shared" ca="1" si="4"/>
        <v>#REF!</v>
      </c>
    </row>
    <row r="70" spans="1:11" ht="15" customHeight="1" x14ac:dyDescent="0.25">
      <c r="A70">
        <v>2017</v>
      </c>
      <c r="B70">
        <v>77</v>
      </c>
      <c r="C70" t="s">
        <v>21</v>
      </c>
      <c r="D70" t="s">
        <v>78</v>
      </c>
      <c r="E70" s="6">
        <f t="shared" ca="1" si="1"/>
        <v>20</v>
      </c>
      <c r="I70" t="s">
        <v>99</v>
      </c>
      <c r="J70">
        <f>J52+1</f>
        <v>6</v>
      </c>
      <c r="K70" s="6">
        <f t="shared" ca="1" si="4"/>
        <v>20</v>
      </c>
    </row>
    <row r="71" spans="1:11" ht="15" customHeight="1" x14ac:dyDescent="0.25">
      <c r="K71" s="6" t="e">
        <f t="shared" ca="1" si="4"/>
        <v>#REF!</v>
      </c>
    </row>
    <row r="72" spans="1:11" ht="15" customHeight="1" x14ac:dyDescent="0.25">
      <c r="A72">
        <v>2017</v>
      </c>
      <c r="B72">
        <v>77</v>
      </c>
      <c r="C72" t="s">
        <v>21</v>
      </c>
      <c r="D72" t="s">
        <v>79</v>
      </c>
      <c r="E72" s="6">
        <f t="shared" ca="1" si="1"/>
        <v>20</v>
      </c>
      <c r="I72" t="s">
        <v>99</v>
      </c>
      <c r="J72">
        <f>J54+1</f>
        <v>6</v>
      </c>
      <c r="K72" s="6">
        <f t="shared" ca="1" si="4"/>
        <v>20</v>
      </c>
    </row>
    <row r="74" spans="1:11" ht="15" customHeight="1" x14ac:dyDescent="0.25">
      <c r="A74">
        <v>2017</v>
      </c>
      <c r="B74">
        <v>51</v>
      </c>
      <c r="C74" t="s">
        <v>22</v>
      </c>
      <c r="D74" t="s">
        <v>292</v>
      </c>
      <c r="E74" s="6">
        <f t="shared" ca="1" si="1"/>
        <v>84.984021800775452</v>
      </c>
      <c r="I74" t="s">
        <v>97</v>
      </c>
      <c r="J74">
        <f>J56+1</f>
        <v>7</v>
      </c>
      <c r="K74" s="6">
        <f ca="1">INDIRECT(CONCATENATE("'P Fertilizer Rate'!",I74,J74))</f>
        <v>84.984021800775452</v>
      </c>
    </row>
    <row r="75" spans="1:11" ht="15" customHeight="1" x14ac:dyDescent="0.25">
      <c r="K75" s="6" t="e">
        <f t="shared" ca="1" si="3"/>
        <v>#REF!</v>
      </c>
    </row>
    <row r="76" spans="1:11" ht="15" customHeight="1" x14ac:dyDescent="0.25">
      <c r="A76">
        <v>2017</v>
      </c>
      <c r="B76">
        <v>51</v>
      </c>
      <c r="C76" t="s">
        <v>22</v>
      </c>
      <c r="D76" t="s">
        <v>293</v>
      </c>
      <c r="E76" s="6">
        <f t="shared" ca="1" si="1"/>
        <v>84.984021800775452</v>
      </c>
      <c r="I76" t="s">
        <v>97</v>
      </c>
      <c r="J76">
        <f>J58+1</f>
        <v>7</v>
      </c>
      <c r="K76" s="6">
        <f t="shared" ca="1" si="3"/>
        <v>84.984021800775452</v>
      </c>
    </row>
    <row r="77" spans="1:11" ht="15" customHeight="1" x14ac:dyDescent="0.25">
      <c r="K77" s="6" t="e">
        <f t="shared" ca="1" si="3"/>
        <v>#REF!</v>
      </c>
    </row>
    <row r="78" spans="1:11" ht="15" customHeight="1" x14ac:dyDescent="0.25">
      <c r="A78">
        <v>2017</v>
      </c>
      <c r="B78">
        <v>51</v>
      </c>
      <c r="C78" t="s">
        <v>22</v>
      </c>
      <c r="D78" t="s">
        <v>294</v>
      </c>
      <c r="E78" s="6">
        <f t="shared" ca="1" si="1"/>
        <v>84.984021800775452</v>
      </c>
      <c r="I78" t="s">
        <v>97</v>
      </c>
      <c r="J78">
        <f>J60+1</f>
        <v>7</v>
      </c>
      <c r="K78" s="6">
        <f t="shared" ca="1" si="3"/>
        <v>84.984021800775452</v>
      </c>
    </row>
    <row r="79" spans="1:11" ht="15" customHeight="1" x14ac:dyDescent="0.25">
      <c r="K79" s="6" t="e">
        <f t="shared" ca="1" si="3"/>
        <v>#REF!</v>
      </c>
    </row>
    <row r="80" spans="1:11" ht="15" customHeight="1" x14ac:dyDescent="0.25">
      <c r="A80">
        <v>2017</v>
      </c>
      <c r="B80">
        <v>51</v>
      </c>
      <c r="C80" t="s">
        <v>22</v>
      </c>
      <c r="D80" t="s">
        <v>74</v>
      </c>
      <c r="E80" s="6">
        <f t="shared" ca="1" si="1"/>
        <v>67.987217440620356</v>
      </c>
      <c r="I80" t="s">
        <v>98</v>
      </c>
      <c r="J80">
        <f>J62+1</f>
        <v>7</v>
      </c>
      <c r="K80" s="6">
        <f t="shared" ca="1" si="3"/>
        <v>67.987217440620356</v>
      </c>
    </row>
    <row r="81" spans="1:11" ht="15" customHeight="1" x14ac:dyDescent="0.25">
      <c r="K81" s="6" t="e">
        <f t="shared" ca="1" si="3"/>
        <v>#REF!</v>
      </c>
    </row>
    <row r="82" spans="1:11" ht="15" customHeight="1" x14ac:dyDescent="0.25">
      <c r="A82">
        <v>2017</v>
      </c>
      <c r="B82">
        <v>51</v>
      </c>
      <c r="C82" t="s">
        <v>22</v>
      </c>
      <c r="D82" t="s">
        <v>75</v>
      </c>
      <c r="E82" s="6">
        <f t="shared" ref="E82:E144" ca="1" si="5">K82</f>
        <v>67.987217440620356</v>
      </c>
      <c r="I82" t="s">
        <v>98</v>
      </c>
      <c r="J82">
        <f>J64+1</f>
        <v>7</v>
      </c>
      <c r="K82" s="6">
        <f t="shared" ca="1" si="3"/>
        <v>67.987217440620356</v>
      </c>
    </row>
    <row r="83" spans="1:11" ht="15" customHeight="1" x14ac:dyDescent="0.25">
      <c r="K83" s="6" t="e">
        <f t="shared" ca="1" si="3"/>
        <v>#REF!</v>
      </c>
    </row>
    <row r="84" spans="1:11" ht="15" customHeight="1" x14ac:dyDescent="0.25">
      <c r="A84">
        <v>2017</v>
      </c>
      <c r="B84">
        <v>51</v>
      </c>
      <c r="C84" t="s">
        <v>22</v>
      </c>
      <c r="D84" t="s">
        <v>76</v>
      </c>
      <c r="E84" s="6">
        <f t="shared" ca="1" si="5"/>
        <v>67.987217440620356</v>
      </c>
      <c r="I84" t="s">
        <v>98</v>
      </c>
      <c r="J84">
        <f>J66+1</f>
        <v>7</v>
      </c>
      <c r="K84" s="6">
        <f t="shared" ca="1" si="3"/>
        <v>67.987217440620356</v>
      </c>
    </row>
    <row r="85" spans="1:11" ht="15" customHeight="1" x14ac:dyDescent="0.25">
      <c r="K85" s="6" t="e">
        <f t="shared" ca="1" si="3"/>
        <v>#REF!</v>
      </c>
    </row>
    <row r="86" spans="1:11" ht="15" customHeight="1" x14ac:dyDescent="0.25">
      <c r="A86">
        <v>2017</v>
      </c>
      <c r="B86">
        <v>51</v>
      </c>
      <c r="C86" t="s">
        <v>22</v>
      </c>
      <c r="D86" t="s">
        <v>77</v>
      </c>
      <c r="E86" s="6">
        <f t="shared" ca="1" si="5"/>
        <v>20</v>
      </c>
      <c r="I86" t="s">
        <v>99</v>
      </c>
      <c r="J86">
        <f>J68+1</f>
        <v>7</v>
      </c>
      <c r="K86" s="6">
        <f t="shared" ca="1" si="3"/>
        <v>20</v>
      </c>
    </row>
    <row r="87" spans="1:11" ht="15" customHeight="1" x14ac:dyDescent="0.25">
      <c r="K87" s="6" t="e">
        <f t="shared" ca="1" si="3"/>
        <v>#REF!</v>
      </c>
    </row>
    <row r="88" spans="1:11" ht="15" customHeight="1" x14ac:dyDescent="0.25">
      <c r="A88">
        <v>2017</v>
      </c>
      <c r="B88">
        <v>51</v>
      </c>
      <c r="C88" t="s">
        <v>22</v>
      </c>
      <c r="D88" t="s">
        <v>78</v>
      </c>
      <c r="E88" s="6">
        <f t="shared" ca="1" si="5"/>
        <v>20</v>
      </c>
      <c r="I88" t="s">
        <v>99</v>
      </c>
      <c r="J88">
        <f>J70+1</f>
        <v>7</v>
      </c>
      <c r="K88" s="6">
        <f t="shared" ca="1" si="3"/>
        <v>20</v>
      </c>
    </row>
    <row r="89" spans="1:11" ht="15" customHeight="1" x14ac:dyDescent="0.25">
      <c r="K89" s="6" t="e">
        <f t="shared" ca="1" si="3"/>
        <v>#REF!</v>
      </c>
    </row>
    <row r="90" spans="1:11" ht="15" customHeight="1" x14ac:dyDescent="0.25">
      <c r="A90">
        <v>2017</v>
      </c>
      <c r="B90">
        <v>51</v>
      </c>
      <c r="C90" t="s">
        <v>22</v>
      </c>
      <c r="D90" t="s">
        <v>79</v>
      </c>
      <c r="E90" s="6">
        <f t="shared" ca="1" si="5"/>
        <v>20</v>
      </c>
      <c r="I90" t="s">
        <v>99</v>
      </c>
      <c r="J90">
        <f>J72+1</f>
        <v>7</v>
      </c>
      <c r="K90" s="6">
        <f t="shared" ca="1" si="3"/>
        <v>20</v>
      </c>
    </row>
    <row r="92" spans="1:11" ht="15" customHeight="1" x14ac:dyDescent="0.25">
      <c r="A92">
        <v>2017</v>
      </c>
      <c r="B92">
        <v>49</v>
      </c>
      <c r="C92" t="s">
        <v>23</v>
      </c>
      <c r="D92" t="s">
        <v>292</v>
      </c>
      <c r="E92" s="6">
        <f t="shared" ca="1" si="5"/>
        <v>68.611104624820655</v>
      </c>
      <c r="I92" t="s">
        <v>97</v>
      </c>
      <c r="J92">
        <f>J74+1</f>
        <v>8</v>
      </c>
      <c r="K92" s="6">
        <f ca="1">INDIRECT(CONCATENATE("'P Fertilizer Rate'!",I92,J92))</f>
        <v>68.611104624820655</v>
      </c>
    </row>
    <row r="93" spans="1:11" ht="15" customHeight="1" x14ac:dyDescent="0.25">
      <c r="K93" s="6" t="e">
        <f t="shared" ca="1" si="4"/>
        <v>#REF!</v>
      </c>
    </row>
    <row r="94" spans="1:11" ht="15" customHeight="1" x14ac:dyDescent="0.25">
      <c r="A94">
        <v>2017</v>
      </c>
      <c r="B94">
        <v>49</v>
      </c>
      <c r="C94" t="s">
        <v>23</v>
      </c>
      <c r="D94" t="s">
        <v>293</v>
      </c>
      <c r="E94" s="6">
        <f t="shared" ca="1" si="5"/>
        <v>68.611104624820655</v>
      </c>
      <c r="I94" t="s">
        <v>97</v>
      </c>
      <c r="J94">
        <f>J76+1</f>
        <v>8</v>
      </c>
      <c r="K94" s="6">
        <f t="shared" ca="1" si="4"/>
        <v>68.611104624820655</v>
      </c>
    </row>
    <row r="95" spans="1:11" ht="15" customHeight="1" x14ac:dyDescent="0.25">
      <c r="K95" s="6" t="e">
        <f t="shared" ca="1" si="4"/>
        <v>#REF!</v>
      </c>
    </row>
    <row r="96" spans="1:11" ht="15" customHeight="1" x14ac:dyDescent="0.25">
      <c r="A96">
        <v>2017</v>
      </c>
      <c r="B96">
        <v>49</v>
      </c>
      <c r="C96" t="s">
        <v>23</v>
      </c>
      <c r="D96" t="s">
        <v>294</v>
      </c>
      <c r="E96" s="6">
        <f t="shared" ca="1" si="5"/>
        <v>68.611104624820655</v>
      </c>
      <c r="I96" t="s">
        <v>97</v>
      </c>
      <c r="J96">
        <f>J78+1</f>
        <v>8</v>
      </c>
      <c r="K96" s="6">
        <f t="shared" ca="1" si="4"/>
        <v>68.611104624820655</v>
      </c>
    </row>
    <row r="97" spans="1:11" ht="15" customHeight="1" x14ac:dyDescent="0.25">
      <c r="K97" s="6" t="e">
        <f t="shared" ca="1" si="4"/>
        <v>#REF!</v>
      </c>
    </row>
    <row r="98" spans="1:11" ht="15" customHeight="1" x14ac:dyDescent="0.25">
      <c r="A98">
        <v>2017</v>
      </c>
      <c r="B98">
        <v>49</v>
      </c>
      <c r="C98" t="s">
        <v>23</v>
      </c>
      <c r="D98" t="s">
        <v>74</v>
      </c>
      <c r="E98" s="6">
        <f t="shared" ca="1" si="5"/>
        <v>54.888883699856528</v>
      </c>
      <c r="I98" t="s">
        <v>98</v>
      </c>
      <c r="J98">
        <f>J80+1</f>
        <v>8</v>
      </c>
      <c r="K98" s="6">
        <f t="shared" ca="1" si="4"/>
        <v>54.888883699856528</v>
      </c>
    </row>
    <row r="99" spans="1:11" ht="15" customHeight="1" x14ac:dyDescent="0.25">
      <c r="K99" s="6" t="e">
        <f t="shared" ca="1" si="4"/>
        <v>#REF!</v>
      </c>
    </row>
    <row r="100" spans="1:11" ht="15" customHeight="1" x14ac:dyDescent="0.25">
      <c r="A100">
        <v>2017</v>
      </c>
      <c r="B100">
        <v>49</v>
      </c>
      <c r="C100" t="s">
        <v>23</v>
      </c>
      <c r="D100" t="s">
        <v>75</v>
      </c>
      <c r="E100" s="6">
        <f t="shared" ca="1" si="5"/>
        <v>54.888883699856528</v>
      </c>
      <c r="I100" t="s">
        <v>98</v>
      </c>
      <c r="J100">
        <f>J82+1</f>
        <v>8</v>
      </c>
      <c r="K100" s="6">
        <f t="shared" ca="1" si="4"/>
        <v>54.888883699856528</v>
      </c>
    </row>
    <row r="101" spans="1:11" ht="15" customHeight="1" x14ac:dyDescent="0.25">
      <c r="K101" s="6" t="e">
        <f t="shared" ca="1" si="4"/>
        <v>#REF!</v>
      </c>
    </row>
    <row r="102" spans="1:11" ht="15" customHeight="1" x14ac:dyDescent="0.25">
      <c r="A102">
        <v>2017</v>
      </c>
      <c r="B102">
        <v>49</v>
      </c>
      <c r="C102" t="s">
        <v>23</v>
      </c>
      <c r="D102" t="s">
        <v>76</v>
      </c>
      <c r="E102" s="6">
        <f t="shared" ca="1" si="5"/>
        <v>54.888883699856528</v>
      </c>
      <c r="I102" t="s">
        <v>98</v>
      </c>
      <c r="J102">
        <f>J84+1</f>
        <v>8</v>
      </c>
      <c r="K102" s="6">
        <f t="shared" ca="1" si="4"/>
        <v>54.888883699856528</v>
      </c>
    </row>
    <row r="103" spans="1:11" ht="15" customHeight="1" x14ac:dyDescent="0.25">
      <c r="K103" s="6" t="e">
        <f t="shared" ca="1" si="4"/>
        <v>#REF!</v>
      </c>
    </row>
    <row r="104" spans="1:11" ht="15" customHeight="1" x14ac:dyDescent="0.25">
      <c r="A104">
        <v>2017</v>
      </c>
      <c r="B104">
        <v>49</v>
      </c>
      <c r="C104" t="s">
        <v>23</v>
      </c>
      <c r="D104" t="s">
        <v>77</v>
      </c>
      <c r="E104" s="6">
        <f t="shared" ca="1" si="5"/>
        <v>20</v>
      </c>
      <c r="I104" t="s">
        <v>99</v>
      </c>
      <c r="J104">
        <f>J86+1</f>
        <v>8</v>
      </c>
      <c r="K104" s="6">
        <f t="shared" ca="1" si="4"/>
        <v>20</v>
      </c>
    </row>
    <row r="105" spans="1:11" ht="15" customHeight="1" x14ac:dyDescent="0.25">
      <c r="K105" s="6" t="e">
        <f t="shared" ca="1" si="4"/>
        <v>#REF!</v>
      </c>
    </row>
    <row r="106" spans="1:11" ht="15" customHeight="1" x14ac:dyDescent="0.25">
      <c r="A106">
        <v>2017</v>
      </c>
      <c r="B106">
        <v>49</v>
      </c>
      <c r="C106" t="s">
        <v>23</v>
      </c>
      <c r="D106" t="s">
        <v>78</v>
      </c>
      <c r="E106" s="6">
        <f t="shared" ca="1" si="5"/>
        <v>20</v>
      </c>
      <c r="I106" t="s">
        <v>99</v>
      </c>
      <c r="J106">
        <f>J88+1</f>
        <v>8</v>
      </c>
      <c r="K106" s="6">
        <f t="shared" ca="1" si="4"/>
        <v>20</v>
      </c>
    </row>
    <row r="107" spans="1:11" ht="15" customHeight="1" x14ac:dyDescent="0.25">
      <c r="K107" s="6" t="e">
        <f t="shared" ca="1" si="4"/>
        <v>#REF!</v>
      </c>
    </row>
    <row r="108" spans="1:11" ht="15" customHeight="1" x14ac:dyDescent="0.25">
      <c r="A108">
        <v>2017</v>
      </c>
      <c r="B108">
        <v>49</v>
      </c>
      <c r="C108" t="s">
        <v>23</v>
      </c>
      <c r="D108" t="s">
        <v>79</v>
      </c>
      <c r="E108" s="6">
        <f t="shared" ca="1" si="5"/>
        <v>20</v>
      </c>
      <c r="I108" t="s">
        <v>99</v>
      </c>
      <c r="J108">
        <f>J90+1</f>
        <v>8</v>
      </c>
      <c r="K108" s="6">
        <f t="shared" ca="1" si="4"/>
        <v>20</v>
      </c>
    </row>
    <row r="110" spans="1:11" ht="15" customHeight="1" x14ac:dyDescent="0.25">
      <c r="A110">
        <v>2017</v>
      </c>
      <c r="B110">
        <v>37</v>
      </c>
      <c r="C110" t="s">
        <v>88</v>
      </c>
      <c r="D110" t="s">
        <v>292</v>
      </c>
      <c r="E110" s="6">
        <f t="shared" ca="1" si="5"/>
        <v>87.931611261293796</v>
      </c>
      <c r="I110" t="s">
        <v>97</v>
      </c>
      <c r="J110">
        <f>J92+1</f>
        <v>9</v>
      </c>
      <c r="K110" s="6">
        <f t="shared" ref="K110:K162" ca="1" si="6">INDIRECT(CONCATENATE("'P Fertilizer Rate'!",I110,J110))</f>
        <v>87.931611261293796</v>
      </c>
    </row>
    <row r="111" spans="1:11" ht="15" customHeight="1" x14ac:dyDescent="0.25">
      <c r="K111" s="6" t="e">
        <f t="shared" ca="1" si="6"/>
        <v>#REF!</v>
      </c>
    </row>
    <row r="112" spans="1:11" ht="15" customHeight="1" x14ac:dyDescent="0.25">
      <c r="A112">
        <v>2017</v>
      </c>
      <c r="B112">
        <v>37</v>
      </c>
      <c r="C112" t="s">
        <v>88</v>
      </c>
      <c r="D112" t="s">
        <v>293</v>
      </c>
      <c r="E112" s="6">
        <f t="shared" ca="1" si="5"/>
        <v>87.931611261293796</v>
      </c>
      <c r="I112" t="s">
        <v>97</v>
      </c>
      <c r="J112">
        <f>J94+1</f>
        <v>9</v>
      </c>
      <c r="K112" s="6">
        <f t="shared" ca="1" si="6"/>
        <v>87.931611261293796</v>
      </c>
    </row>
    <row r="113" spans="1:11" ht="15" customHeight="1" x14ac:dyDescent="0.25">
      <c r="K113" s="6" t="e">
        <f t="shared" ca="1" si="6"/>
        <v>#REF!</v>
      </c>
    </row>
    <row r="114" spans="1:11" ht="15" customHeight="1" x14ac:dyDescent="0.25">
      <c r="A114">
        <v>2017</v>
      </c>
      <c r="B114">
        <v>37</v>
      </c>
      <c r="C114" t="s">
        <v>88</v>
      </c>
      <c r="D114" t="s">
        <v>294</v>
      </c>
      <c r="E114" s="6">
        <f t="shared" ca="1" si="5"/>
        <v>87.931611261293796</v>
      </c>
      <c r="I114" t="s">
        <v>97</v>
      </c>
      <c r="J114">
        <f>J96+1</f>
        <v>9</v>
      </c>
      <c r="K114" s="6">
        <f t="shared" ca="1" si="6"/>
        <v>87.931611261293796</v>
      </c>
    </row>
    <row r="115" spans="1:11" ht="15" customHeight="1" x14ac:dyDescent="0.25">
      <c r="K115" s="6" t="e">
        <f t="shared" ca="1" si="6"/>
        <v>#REF!</v>
      </c>
    </row>
    <row r="116" spans="1:11" ht="15" customHeight="1" x14ac:dyDescent="0.25">
      <c r="A116">
        <v>2017</v>
      </c>
      <c r="B116">
        <v>37</v>
      </c>
      <c r="C116" t="s">
        <v>88</v>
      </c>
      <c r="D116" t="s">
        <v>74</v>
      </c>
      <c r="E116" s="6">
        <f t="shared" ca="1" si="5"/>
        <v>70.345289009035042</v>
      </c>
      <c r="I116" t="s">
        <v>98</v>
      </c>
      <c r="J116">
        <f>J98+1</f>
        <v>9</v>
      </c>
      <c r="K116" s="6">
        <f t="shared" ca="1" si="6"/>
        <v>70.345289009035042</v>
      </c>
    </row>
    <row r="117" spans="1:11" ht="15" customHeight="1" x14ac:dyDescent="0.25">
      <c r="K117" s="6" t="e">
        <f t="shared" ca="1" si="6"/>
        <v>#REF!</v>
      </c>
    </row>
    <row r="118" spans="1:11" ht="15" customHeight="1" x14ac:dyDescent="0.25">
      <c r="A118">
        <v>2017</v>
      </c>
      <c r="B118">
        <v>37</v>
      </c>
      <c r="C118" t="s">
        <v>88</v>
      </c>
      <c r="D118" t="s">
        <v>75</v>
      </c>
      <c r="E118" s="6">
        <f t="shared" ca="1" si="5"/>
        <v>70.345289009035042</v>
      </c>
      <c r="I118" t="s">
        <v>98</v>
      </c>
      <c r="J118">
        <f>J100+1</f>
        <v>9</v>
      </c>
      <c r="K118" s="6">
        <f t="shared" ca="1" si="6"/>
        <v>70.345289009035042</v>
      </c>
    </row>
    <row r="119" spans="1:11" ht="15" customHeight="1" x14ac:dyDescent="0.25">
      <c r="K119" s="6" t="e">
        <f t="shared" ca="1" si="6"/>
        <v>#REF!</v>
      </c>
    </row>
    <row r="120" spans="1:11" ht="15" customHeight="1" x14ac:dyDescent="0.25">
      <c r="A120">
        <v>2017</v>
      </c>
      <c r="B120">
        <v>37</v>
      </c>
      <c r="C120" t="s">
        <v>88</v>
      </c>
      <c r="D120" t="s">
        <v>76</v>
      </c>
      <c r="E120" s="6">
        <f t="shared" ca="1" si="5"/>
        <v>70.345289009035042</v>
      </c>
      <c r="I120" t="s">
        <v>98</v>
      </c>
      <c r="J120">
        <f>J102+1</f>
        <v>9</v>
      </c>
      <c r="K120" s="6">
        <f t="shared" ca="1" si="6"/>
        <v>70.345289009035042</v>
      </c>
    </row>
    <row r="121" spans="1:11" ht="15" customHeight="1" x14ac:dyDescent="0.25">
      <c r="K121" s="6" t="e">
        <f t="shared" ca="1" si="6"/>
        <v>#REF!</v>
      </c>
    </row>
    <row r="122" spans="1:11" ht="15" customHeight="1" x14ac:dyDescent="0.25">
      <c r="A122">
        <v>2017</v>
      </c>
      <c r="B122">
        <v>37</v>
      </c>
      <c r="C122" t="s">
        <v>88</v>
      </c>
      <c r="D122" t="s">
        <v>77</v>
      </c>
      <c r="E122" s="6">
        <f t="shared" ca="1" si="5"/>
        <v>20</v>
      </c>
      <c r="I122" t="s">
        <v>99</v>
      </c>
      <c r="J122">
        <f>J104+1</f>
        <v>9</v>
      </c>
      <c r="K122" s="6">
        <f t="shared" ca="1" si="6"/>
        <v>20</v>
      </c>
    </row>
    <row r="123" spans="1:11" ht="15" customHeight="1" x14ac:dyDescent="0.25">
      <c r="K123" s="6" t="e">
        <f t="shared" ca="1" si="6"/>
        <v>#REF!</v>
      </c>
    </row>
    <row r="124" spans="1:11" ht="15" customHeight="1" x14ac:dyDescent="0.25">
      <c r="A124">
        <v>2017</v>
      </c>
      <c r="B124">
        <v>37</v>
      </c>
      <c r="C124" t="s">
        <v>88</v>
      </c>
      <c r="D124" t="s">
        <v>78</v>
      </c>
      <c r="E124" s="6">
        <f t="shared" ca="1" si="5"/>
        <v>20</v>
      </c>
      <c r="I124" t="s">
        <v>99</v>
      </c>
      <c r="J124">
        <f>J106+1</f>
        <v>9</v>
      </c>
      <c r="K124" s="6">
        <f t="shared" ca="1" si="6"/>
        <v>20</v>
      </c>
    </row>
    <row r="125" spans="1:11" ht="15" customHeight="1" x14ac:dyDescent="0.25">
      <c r="K125" s="6" t="e">
        <f t="shared" ca="1" si="6"/>
        <v>#REF!</v>
      </c>
    </row>
    <row r="126" spans="1:11" ht="15" customHeight="1" x14ac:dyDescent="0.25">
      <c r="A126">
        <v>2017</v>
      </c>
      <c r="B126">
        <v>37</v>
      </c>
      <c r="C126" t="s">
        <v>88</v>
      </c>
      <c r="D126" t="s">
        <v>79</v>
      </c>
      <c r="E126" s="6">
        <f t="shared" ca="1" si="5"/>
        <v>20</v>
      </c>
      <c r="I126" t="s">
        <v>99</v>
      </c>
      <c r="J126">
        <f>J108+1</f>
        <v>9</v>
      </c>
      <c r="K126" s="6">
        <f t="shared" ca="1" si="6"/>
        <v>20</v>
      </c>
    </row>
    <row r="128" spans="1:11" ht="15" customHeight="1" x14ac:dyDescent="0.25">
      <c r="A128">
        <v>2017</v>
      </c>
      <c r="B128">
        <v>75</v>
      </c>
      <c r="C128" t="s">
        <v>89</v>
      </c>
      <c r="D128" t="s">
        <v>292</v>
      </c>
      <c r="E128" s="6">
        <f t="shared" ca="1" si="5"/>
        <v>95.842827130197392</v>
      </c>
      <c r="I128" t="s">
        <v>97</v>
      </c>
      <c r="J128">
        <f>J110+1</f>
        <v>10</v>
      </c>
      <c r="K128" s="6">
        <f t="shared" ref="K128:K180" ca="1" si="7">INDIRECT(CONCATENATE("'P Fertilizer Rate'!",I128,J128))</f>
        <v>95.842827130197392</v>
      </c>
    </row>
    <row r="129" spans="1:11" ht="15" customHeight="1" x14ac:dyDescent="0.25">
      <c r="K129" s="6" t="e">
        <f t="shared" ca="1" si="7"/>
        <v>#REF!</v>
      </c>
    </row>
    <row r="130" spans="1:11" ht="15" customHeight="1" x14ac:dyDescent="0.25">
      <c r="A130">
        <v>2017</v>
      </c>
      <c r="B130">
        <v>75</v>
      </c>
      <c r="C130" t="s">
        <v>89</v>
      </c>
      <c r="D130" t="s">
        <v>293</v>
      </c>
      <c r="E130" s="6">
        <f t="shared" ca="1" si="5"/>
        <v>95.842827130197392</v>
      </c>
      <c r="I130" t="s">
        <v>97</v>
      </c>
      <c r="J130">
        <f>J112+1</f>
        <v>10</v>
      </c>
      <c r="K130" s="6">
        <f t="shared" ca="1" si="7"/>
        <v>95.842827130197392</v>
      </c>
    </row>
    <row r="131" spans="1:11" ht="15" customHeight="1" x14ac:dyDescent="0.25">
      <c r="K131" s="6" t="e">
        <f t="shared" ca="1" si="7"/>
        <v>#REF!</v>
      </c>
    </row>
    <row r="132" spans="1:11" ht="15" customHeight="1" x14ac:dyDescent="0.25">
      <c r="A132">
        <v>2017</v>
      </c>
      <c r="B132">
        <v>75</v>
      </c>
      <c r="C132" t="s">
        <v>89</v>
      </c>
      <c r="D132" t="s">
        <v>294</v>
      </c>
      <c r="E132" s="6">
        <f t="shared" ca="1" si="5"/>
        <v>95.842827130197392</v>
      </c>
      <c r="I132" t="s">
        <v>97</v>
      </c>
      <c r="J132">
        <f>J114+1</f>
        <v>10</v>
      </c>
      <c r="K132" s="6">
        <f t="shared" ca="1" si="7"/>
        <v>95.842827130197392</v>
      </c>
    </row>
    <row r="133" spans="1:11" ht="15" customHeight="1" x14ac:dyDescent="0.25">
      <c r="K133" s="6" t="e">
        <f t="shared" ca="1" si="7"/>
        <v>#REF!</v>
      </c>
    </row>
    <row r="134" spans="1:11" ht="15" customHeight="1" x14ac:dyDescent="0.25">
      <c r="A134">
        <v>2017</v>
      </c>
      <c r="B134">
        <v>75</v>
      </c>
      <c r="C134" t="s">
        <v>89</v>
      </c>
      <c r="D134" t="s">
        <v>74</v>
      </c>
      <c r="E134" s="6">
        <f t="shared" ca="1" si="5"/>
        <v>76.674261704157914</v>
      </c>
      <c r="I134" t="s">
        <v>98</v>
      </c>
      <c r="J134">
        <f>J116+1</f>
        <v>10</v>
      </c>
      <c r="K134" s="6">
        <f t="shared" ca="1" si="7"/>
        <v>76.674261704157914</v>
      </c>
    </row>
    <row r="135" spans="1:11" ht="15" customHeight="1" x14ac:dyDescent="0.25">
      <c r="K135" s="6" t="e">
        <f t="shared" ca="1" si="7"/>
        <v>#REF!</v>
      </c>
    </row>
    <row r="136" spans="1:11" ht="15" customHeight="1" x14ac:dyDescent="0.25">
      <c r="A136">
        <v>2017</v>
      </c>
      <c r="B136">
        <v>75</v>
      </c>
      <c r="C136" t="s">
        <v>89</v>
      </c>
      <c r="D136" t="s">
        <v>75</v>
      </c>
      <c r="E136" s="6">
        <f t="shared" ca="1" si="5"/>
        <v>76.674261704157914</v>
      </c>
      <c r="I136" t="s">
        <v>98</v>
      </c>
      <c r="J136">
        <f>J118+1</f>
        <v>10</v>
      </c>
      <c r="K136" s="6">
        <f t="shared" ca="1" si="7"/>
        <v>76.674261704157914</v>
      </c>
    </row>
    <row r="137" spans="1:11" ht="15" customHeight="1" x14ac:dyDescent="0.25">
      <c r="K137" s="6" t="e">
        <f t="shared" ca="1" si="7"/>
        <v>#REF!</v>
      </c>
    </row>
    <row r="138" spans="1:11" ht="15" customHeight="1" x14ac:dyDescent="0.25">
      <c r="A138">
        <v>2017</v>
      </c>
      <c r="B138">
        <v>75</v>
      </c>
      <c r="C138" t="s">
        <v>89</v>
      </c>
      <c r="D138" t="s">
        <v>76</v>
      </c>
      <c r="E138" s="6">
        <f t="shared" ca="1" si="5"/>
        <v>76.674261704157914</v>
      </c>
      <c r="I138" t="s">
        <v>98</v>
      </c>
      <c r="J138">
        <f>J120+1</f>
        <v>10</v>
      </c>
      <c r="K138" s="6">
        <f t="shared" ca="1" si="7"/>
        <v>76.674261704157914</v>
      </c>
    </row>
    <row r="139" spans="1:11" ht="15" customHeight="1" x14ac:dyDescent="0.25">
      <c r="K139" s="6" t="e">
        <f t="shared" ca="1" si="7"/>
        <v>#REF!</v>
      </c>
    </row>
    <row r="140" spans="1:11" ht="15" customHeight="1" x14ac:dyDescent="0.25">
      <c r="A140">
        <v>2017</v>
      </c>
      <c r="B140">
        <v>75</v>
      </c>
      <c r="C140" t="s">
        <v>89</v>
      </c>
      <c r="D140" t="s">
        <v>77</v>
      </c>
      <c r="E140" s="6">
        <f t="shared" ca="1" si="5"/>
        <v>20</v>
      </c>
      <c r="I140" t="s">
        <v>99</v>
      </c>
      <c r="J140">
        <f>J122+1</f>
        <v>10</v>
      </c>
      <c r="K140" s="6">
        <f t="shared" ca="1" si="7"/>
        <v>20</v>
      </c>
    </row>
    <row r="141" spans="1:11" ht="15" customHeight="1" x14ac:dyDescent="0.25">
      <c r="K141" s="6" t="e">
        <f t="shared" ca="1" si="7"/>
        <v>#REF!</v>
      </c>
    </row>
    <row r="142" spans="1:11" ht="15" customHeight="1" x14ac:dyDescent="0.25">
      <c r="A142">
        <v>2017</v>
      </c>
      <c r="B142">
        <v>75</v>
      </c>
      <c r="C142" t="s">
        <v>89</v>
      </c>
      <c r="D142" t="s">
        <v>78</v>
      </c>
      <c r="E142" s="6">
        <f t="shared" ca="1" si="5"/>
        <v>20</v>
      </c>
      <c r="I142" t="s">
        <v>99</v>
      </c>
      <c r="J142">
        <f>J124+1</f>
        <v>10</v>
      </c>
      <c r="K142" s="6">
        <f t="shared" ca="1" si="7"/>
        <v>20</v>
      </c>
    </row>
    <row r="143" spans="1:11" ht="15" customHeight="1" x14ac:dyDescent="0.25">
      <c r="K143" s="6" t="e">
        <f t="shared" ca="1" si="7"/>
        <v>#REF!</v>
      </c>
    </row>
    <row r="144" spans="1:11" ht="15" customHeight="1" x14ac:dyDescent="0.25">
      <c r="A144">
        <v>2017</v>
      </c>
      <c r="B144">
        <v>75</v>
      </c>
      <c r="C144" t="s">
        <v>89</v>
      </c>
      <c r="D144" t="s">
        <v>79</v>
      </c>
      <c r="E144" s="6">
        <f t="shared" ca="1" si="5"/>
        <v>20</v>
      </c>
      <c r="I144" t="s">
        <v>99</v>
      </c>
      <c r="J144">
        <f>J126+1</f>
        <v>10</v>
      </c>
      <c r="K144" s="6">
        <f t="shared" ca="1" si="7"/>
        <v>20</v>
      </c>
    </row>
    <row r="146" spans="1:11" ht="15" customHeight="1" x14ac:dyDescent="0.25">
      <c r="A146">
        <v>2017</v>
      </c>
      <c r="B146">
        <v>3</v>
      </c>
      <c r="C146" t="s">
        <v>26</v>
      </c>
      <c r="D146" t="s">
        <v>292</v>
      </c>
      <c r="E146" s="6">
        <f t="shared" ref="E146:E208" ca="1" si="8">K146</f>
        <v>80.575610348656213</v>
      </c>
      <c r="I146" t="s">
        <v>97</v>
      </c>
      <c r="J146">
        <f>J128+1</f>
        <v>11</v>
      </c>
      <c r="K146" s="6">
        <f ca="1">INDIRECT(CONCATENATE("'P Fertilizer Rate'!",I146,J146))</f>
        <v>80.575610348656213</v>
      </c>
    </row>
    <row r="147" spans="1:11" ht="15" customHeight="1" x14ac:dyDescent="0.25">
      <c r="K147" s="6" t="e">
        <f t="shared" ca="1" si="6"/>
        <v>#REF!</v>
      </c>
    </row>
    <row r="148" spans="1:11" ht="15" customHeight="1" x14ac:dyDescent="0.25">
      <c r="A148">
        <v>2017</v>
      </c>
      <c r="B148">
        <v>3</v>
      </c>
      <c r="C148" t="s">
        <v>26</v>
      </c>
      <c r="D148" t="s">
        <v>293</v>
      </c>
      <c r="E148" s="6">
        <f t="shared" ca="1" si="8"/>
        <v>80.575610348656213</v>
      </c>
      <c r="I148" t="s">
        <v>97</v>
      </c>
      <c r="J148">
        <f>J130+1</f>
        <v>11</v>
      </c>
      <c r="K148" s="6">
        <f t="shared" ca="1" si="6"/>
        <v>80.575610348656213</v>
      </c>
    </row>
    <row r="149" spans="1:11" ht="15" customHeight="1" x14ac:dyDescent="0.25">
      <c r="K149" s="6" t="e">
        <f t="shared" ca="1" si="6"/>
        <v>#REF!</v>
      </c>
    </row>
    <row r="150" spans="1:11" ht="15" customHeight="1" x14ac:dyDescent="0.25">
      <c r="A150">
        <v>2017</v>
      </c>
      <c r="B150">
        <v>3</v>
      </c>
      <c r="C150" t="s">
        <v>26</v>
      </c>
      <c r="D150" t="s">
        <v>294</v>
      </c>
      <c r="E150" s="6">
        <f t="shared" ca="1" si="8"/>
        <v>80.575610348656213</v>
      </c>
      <c r="I150" t="s">
        <v>97</v>
      </c>
      <c r="J150">
        <f>J132+1</f>
        <v>11</v>
      </c>
      <c r="K150" s="6">
        <f t="shared" ca="1" si="6"/>
        <v>80.575610348656213</v>
      </c>
    </row>
    <row r="151" spans="1:11" ht="15" customHeight="1" x14ac:dyDescent="0.25">
      <c r="K151" s="6" t="e">
        <f t="shared" ca="1" si="6"/>
        <v>#REF!</v>
      </c>
    </row>
    <row r="152" spans="1:11" ht="15" customHeight="1" x14ac:dyDescent="0.25">
      <c r="A152">
        <v>2017</v>
      </c>
      <c r="B152">
        <v>3</v>
      </c>
      <c r="C152" t="s">
        <v>26</v>
      </c>
      <c r="D152" t="s">
        <v>74</v>
      </c>
      <c r="E152" s="6">
        <f t="shared" ca="1" si="8"/>
        <v>64.46048827892497</v>
      </c>
      <c r="I152" t="s">
        <v>98</v>
      </c>
      <c r="J152">
        <f>J134+1</f>
        <v>11</v>
      </c>
      <c r="K152" s="6">
        <f t="shared" ca="1" si="6"/>
        <v>64.46048827892497</v>
      </c>
    </row>
    <row r="153" spans="1:11" ht="15" customHeight="1" x14ac:dyDescent="0.25">
      <c r="K153" s="6" t="e">
        <f t="shared" ca="1" si="6"/>
        <v>#REF!</v>
      </c>
    </row>
    <row r="154" spans="1:11" ht="15" customHeight="1" x14ac:dyDescent="0.25">
      <c r="A154">
        <v>2017</v>
      </c>
      <c r="B154">
        <v>3</v>
      </c>
      <c r="C154" t="s">
        <v>26</v>
      </c>
      <c r="D154" t="s">
        <v>75</v>
      </c>
      <c r="E154" s="6">
        <f t="shared" ca="1" si="8"/>
        <v>64.46048827892497</v>
      </c>
      <c r="I154" t="s">
        <v>98</v>
      </c>
      <c r="J154">
        <f>J136+1</f>
        <v>11</v>
      </c>
      <c r="K154" s="6">
        <f t="shared" ca="1" si="6"/>
        <v>64.46048827892497</v>
      </c>
    </row>
    <row r="155" spans="1:11" ht="15" customHeight="1" x14ac:dyDescent="0.25">
      <c r="K155" s="6" t="e">
        <f t="shared" ca="1" si="6"/>
        <v>#REF!</v>
      </c>
    </row>
    <row r="156" spans="1:11" ht="15" customHeight="1" x14ac:dyDescent="0.25">
      <c r="A156">
        <v>2017</v>
      </c>
      <c r="B156">
        <v>3</v>
      </c>
      <c r="C156" t="s">
        <v>26</v>
      </c>
      <c r="D156" t="s">
        <v>76</v>
      </c>
      <c r="E156" s="6">
        <f t="shared" ca="1" si="8"/>
        <v>64.46048827892497</v>
      </c>
      <c r="I156" t="s">
        <v>98</v>
      </c>
      <c r="J156">
        <f>J138+1</f>
        <v>11</v>
      </c>
      <c r="K156" s="6">
        <f t="shared" ca="1" si="6"/>
        <v>64.46048827892497</v>
      </c>
    </row>
    <row r="157" spans="1:11" ht="15" customHeight="1" x14ac:dyDescent="0.25">
      <c r="K157" s="6" t="e">
        <f t="shared" ca="1" si="6"/>
        <v>#REF!</v>
      </c>
    </row>
    <row r="158" spans="1:11" ht="15" customHeight="1" x14ac:dyDescent="0.25">
      <c r="A158">
        <v>2017</v>
      </c>
      <c r="B158">
        <v>3</v>
      </c>
      <c r="C158" t="s">
        <v>26</v>
      </c>
      <c r="D158" t="s">
        <v>77</v>
      </c>
      <c r="E158" s="6">
        <f t="shared" ca="1" si="8"/>
        <v>20</v>
      </c>
      <c r="I158" t="s">
        <v>99</v>
      </c>
      <c r="J158">
        <f>J140+1</f>
        <v>11</v>
      </c>
      <c r="K158" s="6">
        <f t="shared" ca="1" si="6"/>
        <v>20</v>
      </c>
    </row>
    <row r="159" spans="1:11" ht="15" customHeight="1" x14ac:dyDescent="0.25">
      <c r="K159" s="6" t="e">
        <f t="shared" ca="1" si="6"/>
        <v>#REF!</v>
      </c>
    </row>
    <row r="160" spans="1:11" ht="15" customHeight="1" x14ac:dyDescent="0.25">
      <c r="A160">
        <v>2017</v>
      </c>
      <c r="B160">
        <v>3</v>
      </c>
      <c r="C160" t="s">
        <v>26</v>
      </c>
      <c r="D160" t="s">
        <v>78</v>
      </c>
      <c r="E160" s="6">
        <f t="shared" ca="1" si="8"/>
        <v>20</v>
      </c>
      <c r="I160" t="s">
        <v>99</v>
      </c>
      <c r="J160">
        <f>J142+1</f>
        <v>11</v>
      </c>
      <c r="K160" s="6">
        <f t="shared" ca="1" si="6"/>
        <v>20</v>
      </c>
    </row>
    <row r="161" spans="1:11" ht="15" customHeight="1" x14ac:dyDescent="0.25">
      <c r="K161" s="6" t="e">
        <f t="shared" ca="1" si="6"/>
        <v>#REF!</v>
      </c>
    </row>
    <row r="162" spans="1:11" ht="15" customHeight="1" x14ac:dyDescent="0.25">
      <c r="A162">
        <v>2017</v>
      </c>
      <c r="B162">
        <v>3</v>
      </c>
      <c r="C162" t="s">
        <v>26</v>
      </c>
      <c r="D162" t="s">
        <v>79</v>
      </c>
      <c r="E162" s="6">
        <f t="shared" ca="1" si="8"/>
        <v>20</v>
      </c>
      <c r="I162" t="s">
        <v>99</v>
      </c>
      <c r="J162">
        <f>J144+1</f>
        <v>11</v>
      </c>
      <c r="K162" s="6">
        <f t="shared" ca="1" si="6"/>
        <v>20</v>
      </c>
    </row>
    <row r="164" spans="1:11" ht="15" customHeight="1" x14ac:dyDescent="0.25">
      <c r="A164">
        <v>2017</v>
      </c>
      <c r="B164">
        <v>67</v>
      </c>
      <c r="C164" t="s">
        <v>27</v>
      </c>
      <c r="D164" t="s">
        <v>292</v>
      </c>
      <c r="E164" s="6">
        <f t="shared" ca="1" si="8"/>
        <v>88.858237675602041</v>
      </c>
      <c r="I164" t="s">
        <v>97</v>
      </c>
      <c r="J164">
        <f>J146+1</f>
        <v>12</v>
      </c>
      <c r="K164" s="6">
        <f ca="1">INDIRECT(CONCATENATE("'P Fertilizer Rate'!",I164,J164))</f>
        <v>88.858237675602041</v>
      </c>
    </row>
    <row r="165" spans="1:11" ht="15" customHeight="1" x14ac:dyDescent="0.25">
      <c r="K165" s="6" t="e">
        <f t="shared" ca="1" si="7"/>
        <v>#REF!</v>
      </c>
    </row>
    <row r="166" spans="1:11" ht="15" customHeight="1" x14ac:dyDescent="0.25">
      <c r="A166">
        <v>2017</v>
      </c>
      <c r="B166">
        <v>67</v>
      </c>
      <c r="C166" t="s">
        <v>27</v>
      </c>
      <c r="D166" t="s">
        <v>293</v>
      </c>
      <c r="E166" s="6">
        <f t="shared" ca="1" si="8"/>
        <v>88.858237675602041</v>
      </c>
      <c r="I166" t="s">
        <v>97</v>
      </c>
      <c r="J166">
        <f>J148+1</f>
        <v>12</v>
      </c>
      <c r="K166" s="6">
        <f t="shared" ca="1" si="7"/>
        <v>88.858237675602041</v>
      </c>
    </row>
    <row r="167" spans="1:11" ht="15" customHeight="1" x14ac:dyDescent="0.25">
      <c r="K167" s="6" t="e">
        <f t="shared" ca="1" si="7"/>
        <v>#REF!</v>
      </c>
    </row>
    <row r="168" spans="1:11" ht="15" customHeight="1" x14ac:dyDescent="0.25">
      <c r="A168">
        <v>2017</v>
      </c>
      <c r="B168">
        <v>67</v>
      </c>
      <c r="C168" t="s">
        <v>27</v>
      </c>
      <c r="D168" t="s">
        <v>294</v>
      </c>
      <c r="E168" s="6">
        <f t="shared" ca="1" si="8"/>
        <v>88.858237675602041</v>
      </c>
      <c r="I168" t="s">
        <v>97</v>
      </c>
      <c r="J168">
        <f>J150+1</f>
        <v>12</v>
      </c>
      <c r="K168" s="6">
        <f t="shared" ca="1" si="7"/>
        <v>88.858237675602041</v>
      </c>
    </row>
    <row r="169" spans="1:11" ht="15" customHeight="1" x14ac:dyDescent="0.25">
      <c r="K169" s="6" t="e">
        <f t="shared" ca="1" si="7"/>
        <v>#REF!</v>
      </c>
    </row>
    <row r="170" spans="1:11" ht="15" customHeight="1" x14ac:dyDescent="0.25">
      <c r="A170">
        <v>2017</v>
      </c>
      <c r="B170">
        <v>67</v>
      </c>
      <c r="C170" t="s">
        <v>27</v>
      </c>
      <c r="D170" t="s">
        <v>74</v>
      </c>
      <c r="E170" s="6">
        <f t="shared" ca="1" si="8"/>
        <v>71.086590140481633</v>
      </c>
      <c r="I170" t="s">
        <v>98</v>
      </c>
      <c r="J170">
        <f>J152+1</f>
        <v>12</v>
      </c>
      <c r="K170" s="6">
        <f t="shared" ca="1" si="7"/>
        <v>71.086590140481633</v>
      </c>
    </row>
    <row r="171" spans="1:11" ht="15" customHeight="1" x14ac:dyDescent="0.25">
      <c r="K171" s="6" t="e">
        <f t="shared" ca="1" si="7"/>
        <v>#REF!</v>
      </c>
    </row>
    <row r="172" spans="1:11" ht="15" customHeight="1" x14ac:dyDescent="0.25">
      <c r="A172">
        <v>2017</v>
      </c>
      <c r="B172">
        <v>67</v>
      </c>
      <c r="C172" t="s">
        <v>27</v>
      </c>
      <c r="D172" t="s">
        <v>75</v>
      </c>
      <c r="E172" s="6">
        <f t="shared" ca="1" si="8"/>
        <v>71.086590140481633</v>
      </c>
      <c r="I172" t="s">
        <v>98</v>
      </c>
      <c r="J172">
        <f>J154+1</f>
        <v>12</v>
      </c>
      <c r="K172" s="6">
        <f t="shared" ca="1" si="7"/>
        <v>71.086590140481633</v>
      </c>
    </row>
    <row r="173" spans="1:11" ht="15" customHeight="1" x14ac:dyDescent="0.25">
      <c r="K173" s="6" t="e">
        <f t="shared" ca="1" si="7"/>
        <v>#REF!</v>
      </c>
    </row>
    <row r="174" spans="1:11" ht="15" customHeight="1" x14ac:dyDescent="0.25">
      <c r="A174">
        <v>2017</v>
      </c>
      <c r="B174">
        <v>67</v>
      </c>
      <c r="C174" t="s">
        <v>27</v>
      </c>
      <c r="D174" t="s">
        <v>76</v>
      </c>
      <c r="E174" s="6">
        <f t="shared" ca="1" si="8"/>
        <v>71.086590140481633</v>
      </c>
      <c r="I174" t="s">
        <v>98</v>
      </c>
      <c r="J174">
        <f>J156+1</f>
        <v>12</v>
      </c>
      <c r="K174" s="6">
        <f t="shared" ca="1" si="7"/>
        <v>71.086590140481633</v>
      </c>
    </row>
    <row r="175" spans="1:11" ht="15" customHeight="1" x14ac:dyDescent="0.25">
      <c r="K175" s="6" t="e">
        <f t="shared" ca="1" si="7"/>
        <v>#REF!</v>
      </c>
    </row>
    <row r="176" spans="1:11" ht="15" customHeight="1" x14ac:dyDescent="0.25">
      <c r="A176">
        <v>2017</v>
      </c>
      <c r="B176">
        <v>67</v>
      </c>
      <c r="C176" t="s">
        <v>27</v>
      </c>
      <c r="D176" t="s">
        <v>77</v>
      </c>
      <c r="E176" s="6">
        <f t="shared" ca="1" si="8"/>
        <v>60</v>
      </c>
      <c r="I176" t="s">
        <v>99</v>
      </c>
      <c r="J176">
        <f>J158+1</f>
        <v>12</v>
      </c>
      <c r="K176" s="6">
        <f t="shared" ca="1" si="7"/>
        <v>60</v>
      </c>
    </row>
    <row r="177" spans="1:11" ht="15" customHeight="1" x14ac:dyDescent="0.25">
      <c r="K177" s="6" t="e">
        <f t="shared" ca="1" si="7"/>
        <v>#REF!</v>
      </c>
    </row>
    <row r="178" spans="1:11" ht="15" customHeight="1" x14ac:dyDescent="0.25">
      <c r="A178">
        <v>2017</v>
      </c>
      <c r="B178">
        <v>67</v>
      </c>
      <c r="C178" t="s">
        <v>27</v>
      </c>
      <c r="D178" t="s">
        <v>78</v>
      </c>
      <c r="E178" s="6">
        <f t="shared" ca="1" si="8"/>
        <v>60</v>
      </c>
      <c r="I178" t="s">
        <v>99</v>
      </c>
      <c r="J178">
        <f>J160+1</f>
        <v>12</v>
      </c>
      <c r="K178" s="6">
        <f t="shared" ca="1" si="7"/>
        <v>60</v>
      </c>
    </row>
    <row r="179" spans="1:11" ht="15" customHeight="1" x14ac:dyDescent="0.25">
      <c r="K179" s="6" t="e">
        <f t="shared" ca="1" si="7"/>
        <v>#REF!</v>
      </c>
    </row>
    <row r="180" spans="1:11" ht="15" customHeight="1" x14ac:dyDescent="0.25">
      <c r="A180">
        <v>2017</v>
      </c>
      <c r="B180">
        <v>67</v>
      </c>
      <c r="C180" t="s">
        <v>27</v>
      </c>
      <c r="D180" t="s">
        <v>79</v>
      </c>
      <c r="E180" s="6">
        <f t="shared" ca="1" si="8"/>
        <v>60</v>
      </c>
      <c r="I180" t="s">
        <v>99</v>
      </c>
      <c r="J180">
        <f>J162+1</f>
        <v>12</v>
      </c>
      <c r="K180" s="6">
        <f t="shared" ca="1" si="7"/>
        <v>60</v>
      </c>
    </row>
    <row r="182" spans="1:11" ht="15" customHeight="1" x14ac:dyDescent="0.25">
      <c r="A182">
        <v>2017</v>
      </c>
      <c r="B182">
        <v>60</v>
      </c>
      <c r="C182" t="s">
        <v>28</v>
      </c>
      <c r="D182" t="s">
        <v>292</v>
      </c>
      <c r="E182" s="6">
        <f t="shared" ca="1" si="8"/>
        <v>60.756146640832881</v>
      </c>
      <c r="I182" t="s">
        <v>97</v>
      </c>
      <c r="J182">
        <f>J164+1</f>
        <v>13</v>
      </c>
      <c r="K182" s="6">
        <f t="shared" ref="K182:K234" ca="1" si="9">INDIRECT(CONCATENATE("'P Fertilizer Rate'!",I182,J182))</f>
        <v>60.756146640832881</v>
      </c>
    </row>
    <row r="183" spans="1:11" ht="15" customHeight="1" x14ac:dyDescent="0.25">
      <c r="K183" s="6" t="e">
        <f t="shared" ca="1" si="9"/>
        <v>#REF!</v>
      </c>
    </row>
    <row r="184" spans="1:11" ht="15" customHeight="1" x14ac:dyDescent="0.25">
      <c r="A184">
        <v>2017</v>
      </c>
      <c r="B184">
        <v>60</v>
      </c>
      <c r="C184" t="s">
        <v>28</v>
      </c>
      <c r="D184" t="s">
        <v>293</v>
      </c>
      <c r="E184" s="6">
        <f t="shared" ca="1" si="8"/>
        <v>60.756146640832881</v>
      </c>
      <c r="I184" t="s">
        <v>97</v>
      </c>
      <c r="J184">
        <f>J166+1</f>
        <v>13</v>
      </c>
      <c r="K184" s="6">
        <f t="shared" ca="1" si="9"/>
        <v>60.756146640832881</v>
      </c>
    </row>
    <row r="185" spans="1:11" ht="15" customHeight="1" x14ac:dyDescent="0.25">
      <c r="K185" s="6" t="e">
        <f t="shared" ca="1" si="9"/>
        <v>#REF!</v>
      </c>
    </row>
    <row r="186" spans="1:11" ht="15" customHeight="1" x14ac:dyDescent="0.25">
      <c r="A186">
        <v>2017</v>
      </c>
      <c r="B186">
        <v>60</v>
      </c>
      <c r="C186" t="s">
        <v>28</v>
      </c>
      <c r="D186" t="s">
        <v>294</v>
      </c>
      <c r="E186" s="6">
        <f t="shared" ca="1" si="8"/>
        <v>60.756146640832881</v>
      </c>
      <c r="I186" t="s">
        <v>97</v>
      </c>
      <c r="J186">
        <f>J168+1</f>
        <v>13</v>
      </c>
      <c r="K186" s="6">
        <f t="shared" ca="1" si="9"/>
        <v>60.756146640832881</v>
      </c>
    </row>
    <row r="187" spans="1:11" ht="15" customHeight="1" x14ac:dyDescent="0.25">
      <c r="K187" s="6" t="e">
        <f t="shared" ca="1" si="9"/>
        <v>#REF!</v>
      </c>
    </row>
    <row r="188" spans="1:11" ht="15" customHeight="1" x14ac:dyDescent="0.25">
      <c r="A188">
        <v>2017</v>
      </c>
      <c r="B188">
        <v>60</v>
      </c>
      <c r="C188" t="s">
        <v>28</v>
      </c>
      <c r="D188" t="s">
        <v>74</v>
      </c>
      <c r="E188" s="6">
        <f t="shared" ca="1" si="8"/>
        <v>48.604917312666302</v>
      </c>
      <c r="I188" t="s">
        <v>98</v>
      </c>
      <c r="J188">
        <f>J170+1</f>
        <v>13</v>
      </c>
      <c r="K188" s="6">
        <f t="shared" ca="1" si="9"/>
        <v>48.604917312666302</v>
      </c>
    </row>
    <row r="189" spans="1:11" ht="15" customHeight="1" x14ac:dyDescent="0.25">
      <c r="K189" s="6" t="e">
        <f t="shared" ca="1" si="9"/>
        <v>#REF!</v>
      </c>
    </row>
    <row r="190" spans="1:11" ht="15" customHeight="1" x14ac:dyDescent="0.25">
      <c r="A190">
        <v>2017</v>
      </c>
      <c r="B190">
        <v>60</v>
      </c>
      <c r="C190" t="s">
        <v>28</v>
      </c>
      <c r="D190" t="s">
        <v>75</v>
      </c>
      <c r="E190" s="6">
        <f t="shared" ca="1" si="8"/>
        <v>48.604917312666302</v>
      </c>
      <c r="I190" t="s">
        <v>98</v>
      </c>
      <c r="J190">
        <f>J172+1</f>
        <v>13</v>
      </c>
      <c r="K190" s="6">
        <f t="shared" ca="1" si="9"/>
        <v>48.604917312666302</v>
      </c>
    </row>
    <row r="191" spans="1:11" ht="15" customHeight="1" x14ac:dyDescent="0.25">
      <c r="K191" s="6" t="e">
        <f t="shared" ca="1" si="9"/>
        <v>#REF!</v>
      </c>
    </row>
    <row r="192" spans="1:11" ht="15" customHeight="1" x14ac:dyDescent="0.25">
      <c r="A192">
        <v>2017</v>
      </c>
      <c r="B192">
        <v>60</v>
      </c>
      <c r="C192" t="s">
        <v>28</v>
      </c>
      <c r="D192" t="s">
        <v>76</v>
      </c>
      <c r="E192" s="6">
        <f t="shared" ca="1" si="8"/>
        <v>48.604917312666302</v>
      </c>
      <c r="I192" t="s">
        <v>98</v>
      </c>
      <c r="J192">
        <f>J174+1</f>
        <v>13</v>
      </c>
      <c r="K192" s="6">
        <f t="shared" ca="1" si="9"/>
        <v>48.604917312666302</v>
      </c>
    </row>
    <row r="193" spans="1:11" ht="15" customHeight="1" x14ac:dyDescent="0.25">
      <c r="K193" s="6" t="e">
        <f t="shared" ca="1" si="9"/>
        <v>#REF!</v>
      </c>
    </row>
    <row r="194" spans="1:11" ht="15" customHeight="1" x14ac:dyDescent="0.25">
      <c r="A194">
        <v>2017</v>
      </c>
      <c r="B194">
        <v>60</v>
      </c>
      <c r="C194" t="s">
        <v>28</v>
      </c>
      <c r="D194" t="s">
        <v>77</v>
      </c>
      <c r="E194" s="6">
        <f t="shared" ca="1" si="8"/>
        <v>20</v>
      </c>
      <c r="I194" t="s">
        <v>99</v>
      </c>
      <c r="J194">
        <f>J176+1</f>
        <v>13</v>
      </c>
      <c r="K194" s="6">
        <f t="shared" ca="1" si="9"/>
        <v>20</v>
      </c>
    </row>
    <row r="195" spans="1:11" ht="15" customHeight="1" x14ac:dyDescent="0.25">
      <c r="K195" s="6" t="e">
        <f t="shared" ca="1" si="9"/>
        <v>#REF!</v>
      </c>
    </row>
    <row r="196" spans="1:11" ht="15" customHeight="1" x14ac:dyDescent="0.25">
      <c r="A196">
        <v>2017</v>
      </c>
      <c r="B196">
        <v>60</v>
      </c>
      <c r="C196" t="s">
        <v>28</v>
      </c>
      <c r="D196" t="s">
        <v>78</v>
      </c>
      <c r="E196" s="6">
        <f t="shared" ca="1" si="8"/>
        <v>20</v>
      </c>
      <c r="I196" t="s">
        <v>99</v>
      </c>
      <c r="J196">
        <f>J178+1</f>
        <v>13</v>
      </c>
      <c r="K196" s="6">
        <f t="shared" ca="1" si="9"/>
        <v>20</v>
      </c>
    </row>
    <row r="197" spans="1:11" ht="15" customHeight="1" x14ac:dyDescent="0.25">
      <c r="K197" s="6" t="e">
        <f t="shared" ca="1" si="9"/>
        <v>#REF!</v>
      </c>
    </row>
    <row r="198" spans="1:11" ht="15" customHeight="1" x14ac:dyDescent="0.25">
      <c r="A198">
        <v>2017</v>
      </c>
      <c r="B198">
        <v>60</v>
      </c>
      <c r="C198" t="s">
        <v>28</v>
      </c>
      <c r="D198" t="s">
        <v>79</v>
      </c>
      <c r="E198" s="6">
        <f t="shared" ca="1" si="8"/>
        <v>20</v>
      </c>
      <c r="I198" t="s">
        <v>99</v>
      </c>
      <c r="J198">
        <f>J180+1</f>
        <v>13</v>
      </c>
      <c r="K198" s="6">
        <f t="shared" ca="1" si="9"/>
        <v>20</v>
      </c>
    </row>
    <row r="200" spans="1:11" ht="15" customHeight="1" x14ac:dyDescent="0.25">
      <c r="A200">
        <v>2017</v>
      </c>
      <c r="B200">
        <v>50</v>
      </c>
      <c r="C200" t="s">
        <v>29</v>
      </c>
      <c r="D200" t="s">
        <v>292</v>
      </c>
      <c r="E200" s="6">
        <f t="shared" ca="1" si="8"/>
        <v>88.650039151629457</v>
      </c>
      <c r="I200" t="s">
        <v>97</v>
      </c>
      <c r="J200">
        <f>J182+1</f>
        <v>14</v>
      </c>
      <c r="K200" s="6">
        <f t="shared" ref="K200:K252" ca="1" si="10">INDIRECT(CONCATENATE("'P Fertilizer Rate'!",I200,J200))</f>
        <v>88.650039151629457</v>
      </c>
    </row>
    <row r="201" spans="1:11" ht="15" customHeight="1" x14ac:dyDescent="0.25">
      <c r="K201" s="6" t="e">
        <f t="shared" ca="1" si="10"/>
        <v>#REF!</v>
      </c>
    </row>
    <row r="202" spans="1:11" ht="15" customHeight="1" x14ac:dyDescent="0.25">
      <c r="A202">
        <v>2017</v>
      </c>
      <c r="B202">
        <v>50</v>
      </c>
      <c r="C202" t="s">
        <v>29</v>
      </c>
      <c r="D202" t="s">
        <v>293</v>
      </c>
      <c r="E202" s="6">
        <f t="shared" ca="1" si="8"/>
        <v>88.650039151629457</v>
      </c>
      <c r="I202" t="s">
        <v>97</v>
      </c>
      <c r="J202">
        <f>J184+1</f>
        <v>14</v>
      </c>
      <c r="K202" s="6">
        <f t="shared" ca="1" si="10"/>
        <v>88.650039151629457</v>
      </c>
    </row>
    <row r="203" spans="1:11" ht="15" customHeight="1" x14ac:dyDescent="0.25">
      <c r="K203" s="6" t="e">
        <f t="shared" ca="1" si="10"/>
        <v>#REF!</v>
      </c>
    </row>
    <row r="204" spans="1:11" ht="15" customHeight="1" x14ac:dyDescent="0.25">
      <c r="A204">
        <v>2017</v>
      </c>
      <c r="B204">
        <v>50</v>
      </c>
      <c r="C204" t="s">
        <v>29</v>
      </c>
      <c r="D204" t="s">
        <v>294</v>
      </c>
      <c r="E204" s="6">
        <f t="shared" ca="1" si="8"/>
        <v>88.650039151629457</v>
      </c>
      <c r="I204" t="s">
        <v>97</v>
      </c>
      <c r="J204">
        <f>J186+1</f>
        <v>14</v>
      </c>
      <c r="K204" s="6">
        <f t="shared" ca="1" si="10"/>
        <v>88.650039151629457</v>
      </c>
    </row>
    <row r="205" spans="1:11" ht="15" customHeight="1" x14ac:dyDescent="0.25">
      <c r="K205" s="6" t="e">
        <f t="shared" ca="1" si="10"/>
        <v>#REF!</v>
      </c>
    </row>
    <row r="206" spans="1:11" ht="15" customHeight="1" x14ac:dyDescent="0.25">
      <c r="A206">
        <v>2017</v>
      </c>
      <c r="B206">
        <v>50</v>
      </c>
      <c r="C206" t="s">
        <v>29</v>
      </c>
      <c r="D206" t="s">
        <v>74</v>
      </c>
      <c r="E206" s="6">
        <f t="shared" ca="1" si="8"/>
        <v>70.920031321303568</v>
      </c>
      <c r="I206" t="s">
        <v>98</v>
      </c>
      <c r="J206">
        <f>J188+1</f>
        <v>14</v>
      </c>
      <c r="K206" s="6">
        <f t="shared" ca="1" si="10"/>
        <v>70.920031321303568</v>
      </c>
    </row>
    <row r="207" spans="1:11" ht="15" customHeight="1" x14ac:dyDescent="0.25">
      <c r="K207" s="6" t="e">
        <f t="shared" ca="1" si="10"/>
        <v>#REF!</v>
      </c>
    </row>
    <row r="208" spans="1:11" ht="15" customHeight="1" x14ac:dyDescent="0.25">
      <c r="A208">
        <v>2017</v>
      </c>
      <c r="B208">
        <v>50</v>
      </c>
      <c r="C208" t="s">
        <v>29</v>
      </c>
      <c r="D208" t="s">
        <v>75</v>
      </c>
      <c r="E208" s="6">
        <f t="shared" ca="1" si="8"/>
        <v>70.920031321303568</v>
      </c>
      <c r="I208" t="s">
        <v>98</v>
      </c>
      <c r="J208">
        <f>J190+1</f>
        <v>14</v>
      </c>
      <c r="K208" s="6">
        <f t="shared" ca="1" si="10"/>
        <v>70.920031321303568</v>
      </c>
    </row>
    <row r="209" spans="1:11" ht="15" customHeight="1" x14ac:dyDescent="0.25">
      <c r="K209" s="6" t="e">
        <f t="shared" ca="1" si="10"/>
        <v>#REF!</v>
      </c>
    </row>
    <row r="210" spans="1:11" ht="15" customHeight="1" x14ac:dyDescent="0.25">
      <c r="A210">
        <v>2017</v>
      </c>
      <c r="B210">
        <v>50</v>
      </c>
      <c r="C210" t="s">
        <v>29</v>
      </c>
      <c r="D210" t="s">
        <v>76</v>
      </c>
      <c r="E210" s="6">
        <f t="shared" ref="E210:E272" ca="1" si="11">K210</f>
        <v>70.920031321303568</v>
      </c>
      <c r="I210" t="s">
        <v>98</v>
      </c>
      <c r="J210">
        <f>J192+1</f>
        <v>14</v>
      </c>
      <c r="K210" s="6">
        <f t="shared" ca="1" si="10"/>
        <v>70.920031321303568</v>
      </c>
    </row>
    <row r="211" spans="1:11" ht="15" customHeight="1" x14ac:dyDescent="0.25">
      <c r="K211" s="6" t="e">
        <f t="shared" ca="1" si="10"/>
        <v>#REF!</v>
      </c>
    </row>
    <row r="212" spans="1:11" ht="15" customHeight="1" x14ac:dyDescent="0.25">
      <c r="A212">
        <v>2017</v>
      </c>
      <c r="B212">
        <v>50</v>
      </c>
      <c r="C212" t="s">
        <v>29</v>
      </c>
      <c r="D212" t="s">
        <v>77</v>
      </c>
      <c r="E212" s="6">
        <f t="shared" ca="1" si="11"/>
        <v>20</v>
      </c>
      <c r="I212" t="s">
        <v>99</v>
      </c>
      <c r="J212">
        <f>J194+1</f>
        <v>14</v>
      </c>
      <c r="K212" s="6">
        <f t="shared" ca="1" si="10"/>
        <v>20</v>
      </c>
    </row>
    <row r="213" spans="1:11" ht="15" customHeight="1" x14ac:dyDescent="0.25">
      <c r="K213" s="6" t="e">
        <f t="shared" ca="1" si="10"/>
        <v>#REF!</v>
      </c>
    </row>
    <row r="214" spans="1:11" ht="15" customHeight="1" x14ac:dyDescent="0.25">
      <c r="A214">
        <v>2017</v>
      </c>
      <c r="B214">
        <v>50</v>
      </c>
      <c r="C214" t="s">
        <v>29</v>
      </c>
      <c r="D214" t="s">
        <v>78</v>
      </c>
      <c r="E214" s="6">
        <f t="shared" ca="1" si="11"/>
        <v>20</v>
      </c>
      <c r="I214" t="s">
        <v>99</v>
      </c>
      <c r="J214">
        <f>J196+1</f>
        <v>14</v>
      </c>
      <c r="K214" s="6">
        <f t="shared" ca="1" si="10"/>
        <v>20</v>
      </c>
    </row>
    <row r="215" spans="1:11" ht="15" customHeight="1" x14ac:dyDescent="0.25">
      <c r="K215" s="6" t="e">
        <f t="shared" ca="1" si="10"/>
        <v>#REF!</v>
      </c>
    </row>
    <row r="216" spans="1:11" ht="15" customHeight="1" x14ac:dyDescent="0.25">
      <c r="A216">
        <v>2017</v>
      </c>
      <c r="B216">
        <v>50</v>
      </c>
      <c r="C216" t="s">
        <v>29</v>
      </c>
      <c r="D216" t="s">
        <v>79</v>
      </c>
      <c r="E216" s="6">
        <f t="shared" ca="1" si="11"/>
        <v>20</v>
      </c>
      <c r="I216" t="s">
        <v>99</v>
      </c>
      <c r="J216">
        <f>J198+1</f>
        <v>14</v>
      </c>
      <c r="K216" s="6">
        <f t="shared" ca="1" si="10"/>
        <v>20</v>
      </c>
    </row>
    <row r="218" spans="1:11" ht="15" customHeight="1" x14ac:dyDescent="0.25">
      <c r="A218">
        <v>2017</v>
      </c>
      <c r="B218">
        <v>43</v>
      </c>
      <c r="C218" t="s">
        <v>30</v>
      </c>
      <c r="D218" t="s">
        <v>292</v>
      </c>
      <c r="E218" s="6">
        <f t="shared" ca="1" si="11"/>
        <v>81.799000780062158</v>
      </c>
      <c r="I218" t="s">
        <v>97</v>
      </c>
      <c r="J218">
        <f>J200+1</f>
        <v>15</v>
      </c>
      <c r="K218" s="6">
        <f ca="1">INDIRECT(CONCATENATE("'P Fertilizer Rate'!",I218,J218))</f>
        <v>81.799000780062158</v>
      </c>
    </row>
    <row r="219" spans="1:11" ht="15" customHeight="1" x14ac:dyDescent="0.25">
      <c r="K219" s="6" t="e">
        <f t="shared" ca="1" si="9"/>
        <v>#REF!</v>
      </c>
    </row>
    <row r="220" spans="1:11" ht="15" customHeight="1" x14ac:dyDescent="0.25">
      <c r="A220">
        <v>2017</v>
      </c>
      <c r="B220">
        <v>43</v>
      </c>
      <c r="C220" t="s">
        <v>30</v>
      </c>
      <c r="D220" t="s">
        <v>293</v>
      </c>
      <c r="E220" s="6">
        <f t="shared" ca="1" si="11"/>
        <v>81.799000780062158</v>
      </c>
      <c r="I220" t="s">
        <v>97</v>
      </c>
      <c r="J220">
        <f>J202+1</f>
        <v>15</v>
      </c>
      <c r="K220" s="6">
        <f t="shared" ca="1" si="9"/>
        <v>81.799000780062158</v>
      </c>
    </row>
    <row r="221" spans="1:11" ht="15" customHeight="1" x14ac:dyDescent="0.25">
      <c r="K221" s="6" t="e">
        <f t="shared" ca="1" si="9"/>
        <v>#REF!</v>
      </c>
    </row>
    <row r="222" spans="1:11" ht="15" customHeight="1" x14ac:dyDescent="0.25">
      <c r="A222">
        <v>2017</v>
      </c>
      <c r="B222">
        <v>43</v>
      </c>
      <c r="C222" t="s">
        <v>30</v>
      </c>
      <c r="D222" t="s">
        <v>294</v>
      </c>
      <c r="E222" s="6">
        <f t="shared" ca="1" si="11"/>
        <v>81.799000780062158</v>
      </c>
      <c r="I222" t="s">
        <v>97</v>
      </c>
      <c r="J222">
        <f>J204+1</f>
        <v>15</v>
      </c>
      <c r="K222" s="6">
        <f t="shared" ca="1" si="9"/>
        <v>81.799000780062158</v>
      </c>
    </row>
    <row r="223" spans="1:11" ht="15" customHeight="1" x14ac:dyDescent="0.25">
      <c r="K223" s="6" t="e">
        <f t="shared" ca="1" si="9"/>
        <v>#REF!</v>
      </c>
    </row>
    <row r="224" spans="1:11" ht="15" customHeight="1" x14ac:dyDescent="0.25">
      <c r="A224">
        <v>2017</v>
      </c>
      <c r="B224">
        <v>43</v>
      </c>
      <c r="C224" t="s">
        <v>30</v>
      </c>
      <c r="D224" t="s">
        <v>74</v>
      </c>
      <c r="E224" s="6">
        <f t="shared" ca="1" si="11"/>
        <v>65.439200624049732</v>
      </c>
      <c r="I224" t="s">
        <v>98</v>
      </c>
      <c r="J224">
        <f>J206+1</f>
        <v>15</v>
      </c>
      <c r="K224" s="6">
        <f t="shared" ca="1" si="9"/>
        <v>65.439200624049732</v>
      </c>
    </row>
    <row r="225" spans="1:11" ht="15" customHeight="1" x14ac:dyDescent="0.25">
      <c r="K225" s="6" t="e">
        <f t="shared" ca="1" si="9"/>
        <v>#REF!</v>
      </c>
    </row>
    <row r="226" spans="1:11" ht="15" customHeight="1" x14ac:dyDescent="0.25">
      <c r="A226">
        <v>2017</v>
      </c>
      <c r="B226">
        <v>43</v>
      </c>
      <c r="C226" t="s">
        <v>30</v>
      </c>
      <c r="D226" t="s">
        <v>75</v>
      </c>
      <c r="E226" s="6">
        <f t="shared" ca="1" si="11"/>
        <v>65.439200624049732</v>
      </c>
      <c r="I226" t="s">
        <v>98</v>
      </c>
      <c r="J226">
        <f>J208+1</f>
        <v>15</v>
      </c>
      <c r="K226" s="6">
        <f t="shared" ca="1" si="9"/>
        <v>65.439200624049732</v>
      </c>
    </row>
    <row r="227" spans="1:11" ht="15" customHeight="1" x14ac:dyDescent="0.25">
      <c r="K227" s="6" t="e">
        <f t="shared" ca="1" si="9"/>
        <v>#REF!</v>
      </c>
    </row>
    <row r="228" spans="1:11" ht="15" customHeight="1" x14ac:dyDescent="0.25">
      <c r="A228">
        <v>2017</v>
      </c>
      <c r="B228">
        <v>43</v>
      </c>
      <c r="C228" t="s">
        <v>30</v>
      </c>
      <c r="D228" t="s">
        <v>76</v>
      </c>
      <c r="E228" s="6">
        <f t="shared" ca="1" si="11"/>
        <v>65.439200624049732</v>
      </c>
      <c r="I228" t="s">
        <v>98</v>
      </c>
      <c r="J228">
        <f>J210+1</f>
        <v>15</v>
      </c>
      <c r="K228" s="6">
        <f t="shared" ca="1" si="9"/>
        <v>65.439200624049732</v>
      </c>
    </row>
    <row r="229" spans="1:11" ht="15" customHeight="1" x14ac:dyDescent="0.25">
      <c r="K229" s="6" t="e">
        <f t="shared" ca="1" si="9"/>
        <v>#REF!</v>
      </c>
    </row>
    <row r="230" spans="1:11" ht="15" customHeight="1" x14ac:dyDescent="0.25">
      <c r="A230">
        <v>2017</v>
      </c>
      <c r="B230">
        <v>43</v>
      </c>
      <c r="C230" t="s">
        <v>30</v>
      </c>
      <c r="D230" t="s">
        <v>77</v>
      </c>
      <c r="E230" s="6">
        <f t="shared" ca="1" si="11"/>
        <v>20</v>
      </c>
      <c r="I230" t="s">
        <v>99</v>
      </c>
      <c r="J230">
        <f>J212+1</f>
        <v>15</v>
      </c>
      <c r="K230" s="6">
        <f t="shared" ca="1" si="9"/>
        <v>20</v>
      </c>
    </row>
    <row r="231" spans="1:11" ht="15" customHeight="1" x14ac:dyDescent="0.25">
      <c r="K231" s="6" t="e">
        <f t="shared" ca="1" si="9"/>
        <v>#REF!</v>
      </c>
    </row>
    <row r="232" spans="1:11" ht="15" customHeight="1" x14ac:dyDescent="0.25">
      <c r="A232">
        <v>2017</v>
      </c>
      <c r="B232">
        <v>43</v>
      </c>
      <c r="C232" t="s">
        <v>30</v>
      </c>
      <c r="D232" t="s">
        <v>78</v>
      </c>
      <c r="E232" s="6">
        <f t="shared" ca="1" si="11"/>
        <v>20</v>
      </c>
      <c r="I232" t="s">
        <v>99</v>
      </c>
      <c r="J232">
        <f>J214+1</f>
        <v>15</v>
      </c>
      <c r="K232" s="6">
        <f t="shared" ca="1" si="9"/>
        <v>20</v>
      </c>
    </row>
    <row r="233" spans="1:11" ht="15" customHeight="1" x14ac:dyDescent="0.25">
      <c r="K233" s="6" t="e">
        <f t="shared" ca="1" si="9"/>
        <v>#REF!</v>
      </c>
    </row>
    <row r="234" spans="1:11" ht="15" customHeight="1" x14ac:dyDescent="0.25">
      <c r="A234">
        <v>2017</v>
      </c>
      <c r="B234">
        <v>43</v>
      </c>
      <c r="C234" t="s">
        <v>30</v>
      </c>
      <c r="D234" t="s">
        <v>79</v>
      </c>
      <c r="E234" s="6">
        <f t="shared" ca="1" si="11"/>
        <v>20</v>
      </c>
      <c r="I234" t="s">
        <v>99</v>
      </c>
      <c r="J234">
        <f>J216+1</f>
        <v>15</v>
      </c>
      <c r="K234" s="6">
        <f t="shared" ca="1" si="9"/>
        <v>20</v>
      </c>
    </row>
    <row r="236" spans="1:11" ht="15" customHeight="1" x14ac:dyDescent="0.25">
      <c r="A236">
        <v>2017</v>
      </c>
      <c r="B236">
        <v>32</v>
      </c>
      <c r="C236" t="s">
        <v>90</v>
      </c>
      <c r="D236" t="s">
        <v>292</v>
      </c>
      <c r="E236" s="6">
        <f t="shared" ca="1" si="11"/>
        <v>21.2441892705112</v>
      </c>
      <c r="I236" t="s">
        <v>97</v>
      </c>
      <c r="J236">
        <f>J218+1</f>
        <v>16</v>
      </c>
      <c r="K236" s="6">
        <f ca="1">INDIRECT(CONCATENATE("'P Fertilizer Rate'!",I236,J236))</f>
        <v>21.2441892705112</v>
      </c>
    </row>
    <row r="237" spans="1:11" ht="15" customHeight="1" x14ac:dyDescent="0.25">
      <c r="K237" s="6" t="e">
        <f t="shared" ca="1" si="10"/>
        <v>#REF!</v>
      </c>
    </row>
    <row r="238" spans="1:11" ht="15" customHeight="1" x14ac:dyDescent="0.25">
      <c r="A238">
        <v>2017</v>
      </c>
      <c r="B238">
        <v>32</v>
      </c>
      <c r="C238" t="s">
        <v>90</v>
      </c>
      <c r="D238" t="s">
        <v>293</v>
      </c>
      <c r="E238" s="6">
        <f t="shared" ca="1" si="11"/>
        <v>21.2441892705112</v>
      </c>
      <c r="I238" t="s">
        <v>97</v>
      </c>
      <c r="J238">
        <f>J220+1</f>
        <v>16</v>
      </c>
      <c r="K238" s="6">
        <f t="shared" ca="1" si="10"/>
        <v>21.2441892705112</v>
      </c>
    </row>
    <row r="239" spans="1:11" ht="15" customHeight="1" x14ac:dyDescent="0.25">
      <c r="K239" s="6" t="e">
        <f t="shared" ca="1" si="10"/>
        <v>#REF!</v>
      </c>
    </row>
    <row r="240" spans="1:11" ht="15" customHeight="1" x14ac:dyDescent="0.25">
      <c r="A240">
        <v>2017</v>
      </c>
      <c r="B240">
        <v>32</v>
      </c>
      <c r="C240" t="s">
        <v>90</v>
      </c>
      <c r="D240" t="s">
        <v>294</v>
      </c>
      <c r="E240" s="6">
        <f t="shared" ca="1" si="11"/>
        <v>21.2441892705112</v>
      </c>
      <c r="I240" t="s">
        <v>97</v>
      </c>
      <c r="J240">
        <f>J222+1</f>
        <v>16</v>
      </c>
      <c r="K240" s="6">
        <f t="shared" ca="1" si="10"/>
        <v>21.2441892705112</v>
      </c>
    </row>
    <row r="241" spans="1:11" ht="15" customHeight="1" x14ac:dyDescent="0.25">
      <c r="K241" s="6" t="e">
        <f t="shared" ca="1" si="10"/>
        <v>#REF!</v>
      </c>
    </row>
    <row r="242" spans="1:11" ht="15" customHeight="1" x14ac:dyDescent="0.25">
      <c r="A242">
        <v>2017</v>
      </c>
      <c r="B242">
        <v>32</v>
      </c>
      <c r="C242" t="s">
        <v>90</v>
      </c>
      <c r="D242" t="s">
        <v>74</v>
      </c>
      <c r="E242" s="6">
        <f t="shared" ca="1" si="11"/>
        <v>16.995351416408958</v>
      </c>
      <c r="I242" t="s">
        <v>98</v>
      </c>
      <c r="J242">
        <f>J224+1</f>
        <v>16</v>
      </c>
      <c r="K242" s="6">
        <f t="shared" ca="1" si="10"/>
        <v>16.995351416408958</v>
      </c>
    </row>
    <row r="243" spans="1:11" ht="15" customHeight="1" x14ac:dyDescent="0.25">
      <c r="K243" s="6" t="e">
        <f t="shared" ca="1" si="10"/>
        <v>#REF!</v>
      </c>
    </row>
    <row r="244" spans="1:11" ht="15" customHeight="1" x14ac:dyDescent="0.25">
      <c r="A244">
        <v>2017</v>
      </c>
      <c r="B244">
        <v>32</v>
      </c>
      <c r="C244" t="s">
        <v>90</v>
      </c>
      <c r="D244" t="s">
        <v>75</v>
      </c>
      <c r="E244" s="6">
        <f t="shared" ca="1" si="11"/>
        <v>16.995351416408958</v>
      </c>
      <c r="I244" t="s">
        <v>98</v>
      </c>
      <c r="J244">
        <f>J226+1</f>
        <v>16</v>
      </c>
      <c r="K244" s="6">
        <f t="shared" ca="1" si="10"/>
        <v>16.995351416408958</v>
      </c>
    </row>
    <row r="245" spans="1:11" ht="15" customHeight="1" x14ac:dyDescent="0.25">
      <c r="K245" s="6" t="e">
        <f t="shared" ca="1" si="10"/>
        <v>#REF!</v>
      </c>
    </row>
    <row r="246" spans="1:11" ht="15" customHeight="1" x14ac:dyDescent="0.25">
      <c r="A246">
        <v>2017</v>
      </c>
      <c r="B246">
        <v>32</v>
      </c>
      <c r="C246" t="s">
        <v>90</v>
      </c>
      <c r="D246" t="s">
        <v>76</v>
      </c>
      <c r="E246" s="6">
        <f t="shared" ca="1" si="11"/>
        <v>16.995351416408958</v>
      </c>
      <c r="I246" t="s">
        <v>98</v>
      </c>
      <c r="J246">
        <f>J228+1</f>
        <v>16</v>
      </c>
      <c r="K246" s="6">
        <f t="shared" ca="1" si="10"/>
        <v>16.995351416408958</v>
      </c>
    </row>
    <row r="247" spans="1:11" ht="15" customHeight="1" x14ac:dyDescent="0.25">
      <c r="K247" s="6" t="e">
        <f t="shared" ca="1" si="10"/>
        <v>#REF!</v>
      </c>
    </row>
    <row r="248" spans="1:11" ht="15" customHeight="1" x14ac:dyDescent="0.25">
      <c r="A248">
        <v>2017</v>
      </c>
      <c r="B248">
        <v>32</v>
      </c>
      <c r="C248" t="s">
        <v>90</v>
      </c>
      <c r="D248" t="s">
        <v>77</v>
      </c>
      <c r="E248" s="6">
        <f t="shared" ca="1" si="11"/>
        <v>20</v>
      </c>
      <c r="I248" t="s">
        <v>99</v>
      </c>
      <c r="J248">
        <f>J230+1</f>
        <v>16</v>
      </c>
      <c r="K248" s="6">
        <f t="shared" ca="1" si="10"/>
        <v>20</v>
      </c>
    </row>
    <row r="249" spans="1:11" ht="15" customHeight="1" x14ac:dyDescent="0.25">
      <c r="K249" s="6" t="e">
        <f t="shared" ca="1" si="10"/>
        <v>#REF!</v>
      </c>
    </row>
    <row r="250" spans="1:11" ht="15" customHeight="1" x14ac:dyDescent="0.25">
      <c r="A250">
        <v>2017</v>
      </c>
      <c r="B250">
        <v>32</v>
      </c>
      <c r="C250" t="s">
        <v>90</v>
      </c>
      <c r="D250" t="s">
        <v>78</v>
      </c>
      <c r="E250" s="6">
        <f t="shared" ca="1" si="11"/>
        <v>20</v>
      </c>
      <c r="I250" t="s">
        <v>99</v>
      </c>
      <c r="J250">
        <f>J232+1</f>
        <v>16</v>
      </c>
      <c r="K250" s="6">
        <f t="shared" ca="1" si="10"/>
        <v>20</v>
      </c>
    </row>
    <row r="251" spans="1:11" ht="15" customHeight="1" x14ac:dyDescent="0.25">
      <c r="K251" s="6" t="e">
        <f t="shared" ca="1" si="10"/>
        <v>#REF!</v>
      </c>
    </row>
    <row r="252" spans="1:11" ht="15" customHeight="1" x14ac:dyDescent="0.25">
      <c r="A252">
        <v>2017</v>
      </c>
      <c r="B252">
        <v>32</v>
      </c>
      <c r="C252" t="s">
        <v>90</v>
      </c>
      <c r="D252" t="s">
        <v>79</v>
      </c>
      <c r="E252" s="6">
        <f t="shared" ca="1" si="11"/>
        <v>20</v>
      </c>
      <c r="I252" t="s">
        <v>99</v>
      </c>
      <c r="J252">
        <f>J234+1</f>
        <v>16</v>
      </c>
      <c r="K252" s="6">
        <f t="shared" ca="1" si="10"/>
        <v>20</v>
      </c>
    </row>
    <row r="254" spans="1:11" ht="15" customHeight="1" x14ac:dyDescent="0.25">
      <c r="A254">
        <v>2017</v>
      </c>
      <c r="B254">
        <v>14</v>
      </c>
      <c r="C254" t="s">
        <v>91</v>
      </c>
      <c r="D254" t="s">
        <v>292</v>
      </c>
      <c r="E254" s="6">
        <f t="shared" ca="1" si="11"/>
        <v>94.478551689634855</v>
      </c>
      <c r="I254" t="s">
        <v>97</v>
      </c>
      <c r="J254">
        <f>J236+1</f>
        <v>17</v>
      </c>
      <c r="K254" s="6">
        <f t="shared" ref="K254:K306" ca="1" si="12">INDIRECT(CONCATENATE("'P Fertilizer Rate'!",I254,J254))</f>
        <v>94.478551689634855</v>
      </c>
    </row>
    <row r="255" spans="1:11" ht="15" customHeight="1" x14ac:dyDescent="0.25">
      <c r="K255" s="6" t="e">
        <f t="shared" ca="1" si="12"/>
        <v>#REF!</v>
      </c>
    </row>
    <row r="256" spans="1:11" ht="15" customHeight="1" x14ac:dyDescent="0.25">
      <c r="A256">
        <v>2017</v>
      </c>
      <c r="B256">
        <v>14</v>
      </c>
      <c r="C256" t="s">
        <v>91</v>
      </c>
      <c r="D256" t="s">
        <v>293</v>
      </c>
      <c r="E256" s="6">
        <f t="shared" ca="1" si="11"/>
        <v>94.478551689634855</v>
      </c>
      <c r="I256" t="s">
        <v>97</v>
      </c>
      <c r="J256">
        <f>J238+1</f>
        <v>17</v>
      </c>
      <c r="K256" s="6">
        <f t="shared" ca="1" si="12"/>
        <v>94.478551689634855</v>
      </c>
    </row>
    <row r="257" spans="1:11" ht="15" customHeight="1" x14ac:dyDescent="0.25">
      <c r="K257" s="6" t="e">
        <f t="shared" ca="1" si="12"/>
        <v>#REF!</v>
      </c>
    </row>
    <row r="258" spans="1:11" ht="15" customHeight="1" x14ac:dyDescent="0.25">
      <c r="A258">
        <v>2017</v>
      </c>
      <c r="B258">
        <v>14</v>
      </c>
      <c r="C258" t="s">
        <v>91</v>
      </c>
      <c r="D258" t="s">
        <v>294</v>
      </c>
      <c r="E258" s="6">
        <f t="shared" ca="1" si="11"/>
        <v>94.478551689634855</v>
      </c>
      <c r="I258" t="s">
        <v>97</v>
      </c>
      <c r="J258">
        <f>J240+1</f>
        <v>17</v>
      </c>
      <c r="K258" s="6">
        <f t="shared" ca="1" si="12"/>
        <v>94.478551689634855</v>
      </c>
    </row>
    <row r="259" spans="1:11" ht="15" customHeight="1" x14ac:dyDescent="0.25">
      <c r="K259" s="6" t="e">
        <f t="shared" ca="1" si="12"/>
        <v>#REF!</v>
      </c>
    </row>
    <row r="260" spans="1:11" ht="15" customHeight="1" x14ac:dyDescent="0.25">
      <c r="A260">
        <v>2017</v>
      </c>
      <c r="B260">
        <v>14</v>
      </c>
      <c r="C260" t="s">
        <v>91</v>
      </c>
      <c r="D260" t="s">
        <v>74</v>
      </c>
      <c r="E260" s="6">
        <f t="shared" ca="1" si="11"/>
        <v>75.582841351707884</v>
      </c>
      <c r="I260" t="s">
        <v>98</v>
      </c>
      <c r="J260">
        <f>J242+1</f>
        <v>17</v>
      </c>
      <c r="K260" s="6">
        <f t="shared" ca="1" si="12"/>
        <v>75.582841351707884</v>
      </c>
    </row>
    <row r="261" spans="1:11" ht="15" customHeight="1" x14ac:dyDescent="0.25">
      <c r="K261" s="6" t="e">
        <f t="shared" ca="1" si="12"/>
        <v>#REF!</v>
      </c>
    </row>
    <row r="262" spans="1:11" ht="15" customHeight="1" x14ac:dyDescent="0.25">
      <c r="A262">
        <v>2017</v>
      </c>
      <c r="B262">
        <v>14</v>
      </c>
      <c r="C262" t="s">
        <v>91</v>
      </c>
      <c r="D262" t="s">
        <v>75</v>
      </c>
      <c r="E262" s="6">
        <f t="shared" ca="1" si="11"/>
        <v>75.582841351707884</v>
      </c>
      <c r="I262" t="s">
        <v>98</v>
      </c>
      <c r="J262">
        <f>J244+1</f>
        <v>17</v>
      </c>
      <c r="K262" s="6">
        <f t="shared" ca="1" si="12"/>
        <v>75.582841351707884</v>
      </c>
    </row>
    <row r="263" spans="1:11" ht="15" customHeight="1" x14ac:dyDescent="0.25">
      <c r="K263" s="6" t="e">
        <f t="shared" ca="1" si="12"/>
        <v>#REF!</v>
      </c>
    </row>
    <row r="264" spans="1:11" ht="15" customHeight="1" x14ac:dyDescent="0.25">
      <c r="A264">
        <v>2017</v>
      </c>
      <c r="B264">
        <v>14</v>
      </c>
      <c r="C264" t="s">
        <v>91</v>
      </c>
      <c r="D264" t="s">
        <v>76</v>
      </c>
      <c r="E264" s="6">
        <f t="shared" ca="1" si="11"/>
        <v>75.582841351707884</v>
      </c>
      <c r="I264" t="s">
        <v>98</v>
      </c>
      <c r="J264">
        <f>J246+1</f>
        <v>17</v>
      </c>
      <c r="K264" s="6">
        <f t="shared" ca="1" si="12"/>
        <v>75.582841351707884</v>
      </c>
    </row>
    <row r="265" spans="1:11" ht="15" customHeight="1" x14ac:dyDescent="0.25">
      <c r="K265" s="6" t="e">
        <f t="shared" ca="1" si="12"/>
        <v>#REF!</v>
      </c>
    </row>
    <row r="266" spans="1:11" ht="15" customHeight="1" x14ac:dyDescent="0.25">
      <c r="A266">
        <v>2017</v>
      </c>
      <c r="B266">
        <v>14</v>
      </c>
      <c r="C266" t="s">
        <v>91</v>
      </c>
      <c r="D266" t="s">
        <v>77</v>
      </c>
      <c r="E266" s="6">
        <f t="shared" ca="1" si="11"/>
        <v>20</v>
      </c>
      <c r="I266" t="s">
        <v>99</v>
      </c>
      <c r="J266">
        <f>J248+1</f>
        <v>17</v>
      </c>
      <c r="K266" s="6">
        <f t="shared" ca="1" si="12"/>
        <v>20</v>
      </c>
    </row>
    <row r="267" spans="1:11" ht="15" customHeight="1" x14ac:dyDescent="0.25">
      <c r="K267" s="6" t="e">
        <f t="shared" ca="1" si="12"/>
        <v>#REF!</v>
      </c>
    </row>
    <row r="268" spans="1:11" ht="15" customHeight="1" x14ac:dyDescent="0.25">
      <c r="A268">
        <v>2017</v>
      </c>
      <c r="B268">
        <v>14</v>
      </c>
      <c r="C268" t="s">
        <v>91</v>
      </c>
      <c r="D268" t="s">
        <v>78</v>
      </c>
      <c r="E268" s="6">
        <f t="shared" ca="1" si="11"/>
        <v>20</v>
      </c>
      <c r="I268" t="s">
        <v>99</v>
      </c>
      <c r="J268">
        <f>J250+1</f>
        <v>17</v>
      </c>
      <c r="K268" s="6">
        <f t="shared" ca="1" si="12"/>
        <v>20</v>
      </c>
    </row>
    <row r="269" spans="1:11" ht="15" customHeight="1" x14ac:dyDescent="0.25">
      <c r="K269" s="6" t="e">
        <f t="shared" ca="1" si="12"/>
        <v>#REF!</v>
      </c>
    </row>
    <row r="270" spans="1:11" ht="15" customHeight="1" x14ac:dyDescent="0.25">
      <c r="A270">
        <v>2017</v>
      </c>
      <c r="B270">
        <v>14</v>
      </c>
      <c r="C270" t="s">
        <v>91</v>
      </c>
      <c r="D270" t="s">
        <v>79</v>
      </c>
      <c r="E270" s="6">
        <f t="shared" ca="1" si="11"/>
        <v>20</v>
      </c>
      <c r="I270" t="s">
        <v>99</v>
      </c>
      <c r="J270">
        <f>J252+1</f>
        <v>17</v>
      </c>
      <c r="K270" s="6">
        <f t="shared" ca="1" si="12"/>
        <v>20</v>
      </c>
    </row>
    <row r="272" spans="1:11" ht="15" customHeight="1" x14ac:dyDescent="0.25">
      <c r="A272">
        <v>2017</v>
      </c>
      <c r="B272">
        <v>25</v>
      </c>
      <c r="C272" t="s">
        <v>33</v>
      </c>
      <c r="D272" t="s">
        <v>292</v>
      </c>
      <c r="E272" s="6">
        <f t="shared" ca="1" si="11"/>
        <v>89.832757810193172</v>
      </c>
      <c r="I272" t="s">
        <v>97</v>
      </c>
      <c r="J272">
        <f>J254+1</f>
        <v>18</v>
      </c>
      <c r="K272" s="6">
        <f t="shared" ref="K272:K324" ca="1" si="13">INDIRECT(CONCATENATE("'P Fertilizer Rate'!",I272,J272))</f>
        <v>89.832757810193172</v>
      </c>
    </row>
    <row r="273" spans="1:11" ht="15" customHeight="1" x14ac:dyDescent="0.25">
      <c r="K273" s="6" t="e">
        <f t="shared" ca="1" si="13"/>
        <v>#REF!</v>
      </c>
    </row>
    <row r="274" spans="1:11" ht="15" customHeight="1" x14ac:dyDescent="0.25">
      <c r="A274">
        <v>2017</v>
      </c>
      <c r="B274">
        <v>25</v>
      </c>
      <c r="C274" t="s">
        <v>33</v>
      </c>
      <c r="D274" t="s">
        <v>293</v>
      </c>
      <c r="E274" s="6">
        <f t="shared" ref="E274:E336" ca="1" si="14">K274</f>
        <v>89.832757810193172</v>
      </c>
      <c r="I274" t="s">
        <v>97</v>
      </c>
      <c r="J274">
        <f>J256+1</f>
        <v>18</v>
      </c>
      <c r="K274" s="6">
        <f t="shared" ca="1" si="13"/>
        <v>89.832757810193172</v>
      </c>
    </row>
    <row r="275" spans="1:11" ht="15" customHeight="1" x14ac:dyDescent="0.25">
      <c r="K275" s="6" t="e">
        <f t="shared" ca="1" si="13"/>
        <v>#REF!</v>
      </c>
    </row>
    <row r="276" spans="1:11" ht="15" customHeight="1" x14ac:dyDescent="0.25">
      <c r="A276">
        <v>2017</v>
      </c>
      <c r="B276">
        <v>25</v>
      </c>
      <c r="C276" t="s">
        <v>33</v>
      </c>
      <c r="D276" t="s">
        <v>294</v>
      </c>
      <c r="E276" s="6">
        <f t="shared" ca="1" si="14"/>
        <v>89.832757810193172</v>
      </c>
      <c r="I276" t="s">
        <v>97</v>
      </c>
      <c r="J276">
        <f>J258+1</f>
        <v>18</v>
      </c>
      <c r="K276" s="6">
        <f t="shared" ca="1" si="13"/>
        <v>89.832757810193172</v>
      </c>
    </row>
    <row r="277" spans="1:11" ht="15" customHeight="1" x14ac:dyDescent="0.25">
      <c r="K277" s="6" t="e">
        <f t="shared" ca="1" si="13"/>
        <v>#REF!</v>
      </c>
    </row>
    <row r="278" spans="1:11" ht="15" customHeight="1" x14ac:dyDescent="0.25">
      <c r="A278">
        <v>2017</v>
      </c>
      <c r="B278">
        <v>25</v>
      </c>
      <c r="C278" t="s">
        <v>33</v>
      </c>
      <c r="D278" t="s">
        <v>74</v>
      </c>
      <c r="E278" s="6">
        <f t="shared" ca="1" si="14"/>
        <v>71.866206248154541</v>
      </c>
      <c r="I278" t="s">
        <v>98</v>
      </c>
      <c r="J278">
        <f>J260+1</f>
        <v>18</v>
      </c>
      <c r="K278" s="6">
        <f t="shared" ca="1" si="13"/>
        <v>71.866206248154541</v>
      </c>
    </row>
    <row r="279" spans="1:11" ht="15" customHeight="1" x14ac:dyDescent="0.25">
      <c r="K279" s="6" t="e">
        <f t="shared" ca="1" si="13"/>
        <v>#REF!</v>
      </c>
    </row>
    <row r="280" spans="1:11" ht="15" customHeight="1" x14ac:dyDescent="0.25">
      <c r="A280">
        <v>2017</v>
      </c>
      <c r="B280">
        <v>25</v>
      </c>
      <c r="C280" t="s">
        <v>33</v>
      </c>
      <c r="D280" t="s">
        <v>75</v>
      </c>
      <c r="E280" s="6">
        <f t="shared" ca="1" si="14"/>
        <v>71.866206248154541</v>
      </c>
      <c r="I280" t="s">
        <v>98</v>
      </c>
      <c r="J280">
        <f>J262+1</f>
        <v>18</v>
      </c>
      <c r="K280" s="6">
        <f t="shared" ca="1" si="13"/>
        <v>71.866206248154541</v>
      </c>
    </row>
    <row r="281" spans="1:11" ht="15" customHeight="1" x14ac:dyDescent="0.25">
      <c r="K281" s="6" t="e">
        <f t="shared" ca="1" si="13"/>
        <v>#REF!</v>
      </c>
    </row>
    <row r="282" spans="1:11" ht="15" customHeight="1" x14ac:dyDescent="0.25">
      <c r="A282">
        <v>2017</v>
      </c>
      <c r="B282">
        <v>25</v>
      </c>
      <c r="C282" t="s">
        <v>33</v>
      </c>
      <c r="D282" t="s">
        <v>76</v>
      </c>
      <c r="E282" s="6">
        <f t="shared" ca="1" si="14"/>
        <v>71.866206248154541</v>
      </c>
      <c r="I282" t="s">
        <v>98</v>
      </c>
      <c r="J282">
        <f>J264+1</f>
        <v>18</v>
      </c>
      <c r="K282" s="6">
        <f t="shared" ca="1" si="13"/>
        <v>71.866206248154541</v>
      </c>
    </row>
    <row r="283" spans="1:11" ht="15" customHeight="1" x14ac:dyDescent="0.25">
      <c r="K283" s="6" t="e">
        <f t="shared" ca="1" si="13"/>
        <v>#REF!</v>
      </c>
    </row>
    <row r="284" spans="1:11" ht="15" customHeight="1" x14ac:dyDescent="0.25">
      <c r="A284">
        <v>2017</v>
      </c>
      <c r="B284">
        <v>25</v>
      </c>
      <c r="C284" t="s">
        <v>33</v>
      </c>
      <c r="D284" t="s">
        <v>77</v>
      </c>
      <c r="E284" s="6">
        <f t="shared" ca="1" si="14"/>
        <v>20</v>
      </c>
      <c r="I284" t="s">
        <v>99</v>
      </c>
      <c r="J284">
        <f>J266+1</f>
        <v>18</v>
      </c>
      <c r="K284" s="6">
        <f t="shared" ca="1" si="13"/>
        <v>20</v>
      </c>
    </row>
    <row r="285" spans="1:11" ht="15" customHeight="1" x14ac:dyDescent="0.25">
      <c r="K285" s="6" t="e">
        <f t="shared" ca="1" si="13"/>
        <v>#REF!</v>
      </c>
    </row>
    <row r="286" spans="1:11" ht="15" customHeight="1" x14ac:dyDescent="0.25">
      <c r="A286">
        <v>2017</v>
      </c>
      <c r="B286">
        <v>25</v>
      </c>
      <c r="C286" t="s">
        <v>33</v>
      </c>
      <c r="D286" t="s">
        <v>78</v>
      </c>
      <c r="E286" s="6">
        <f t="shared" ca="1" si="14"/>
        <v>20</v>
      </c>
      <c r="I286" t="s">
        <v>99</v>
      </c>
      <c r="J286">
        <f>J268+1</f>
        <v>18</v>
      </c>
      <c r="K286" s="6">
        <f t="shared" ca="1" si="13"/>
        <v>20</v>
      </c>
    </row>
    <row r="287" spans="1:11" ht="15" customHeight="1" x14ac:dyDescent="0.25">
      <c r="K287" s="6" t="e">
        <f t="shared" ca="1" si="13"/>
        <v>#REF!</v>
      </c>
    </row>
    <row r="288" spans="1:11" ht="15" customHeight="1" x14ac:dyDescent="0.25">
      <c r="A288">
        <v>2017</v>
      </c>
      <c r="B288">
        <v>25</v>
      </c>
      <c r="C288" t="s">
        <v>33</v>
      </c>
      <c r="D288" t="s">
        <v>79</v>
      </c>
      <c r="E288" s="6">
        <f t="shared" ca="1" si="14"/>
        <v>20</v>
      </c>
      <c r="I288" t="s">
        <v>99</v>
      </c>
      <c r="J288">
        <f>J270+1</f>
        <v>18</v>
      </c>
      <c r="K288" s="6">
        <f t="shared" ca="1" si="13"/>
        <v>20</v>
      </c>
    </row>
    <row r="290" spans="1:11" ht="15" customHeight="1" x14ac:dyDescent="0.25">
      <c r="A290">
        <v>2017</v>
      </c>
      <c r="B290">
        <v>46</v>
      </c>
      <c r="C290" t="s">
        <v>34</v>
      </c>
      <c r="D290" t="s">
        <v>292</v>
      </c>
      <c r="E290" s="6">
        <f t="shared" ca="1" si="14"/>
        <v>83.296794809862291</v>
      </c>
      <c r="I290" t="s">
        <v>97</v>
      </c>
      <c r="J290">
        <f>J272+1</f>
        <v>19</v>
      </c>
      <c r="K290" s="6">
        <f ca="1">INDIRECT(CONCATENATE("'P Fertilizer Rate'!",I290,J290))</f>
        <v>83.296794809862291</v>
      </c>
    </row>
    <row r="291" spans="1:11" ht="15" customHeight="1" x14ac:dyDescent="0.25">
      <c r="K291" s="6" t="e">
        <f t="shared" ca="1" si="12"/>
        <v>#REF!</v>
      </c>
    </row>
    <row r="292" spans="1:11" ht="15" customHeight="1" x14ac:dyDescent="0.25">
      <c r="A292">
        <v>2017</v>
      </c>
      <c r="B292">
        <v>46</v>
      </c>
      <c r="C292" t="s">
        <v>34</v>
      </c>
      <c r="D292" t="s">
        <v>293</v>
      </c>
      <c r="E292" s="6">
        <f t="shared" ca="1" si="14"/>
        <v>83.296794809862291</v>
      </c>
      <c r="I292" t="s">
        <v>97</v>
      </c>
      <c r="J292">
        <f>J274+1</f>
        <v>19</v>
      </c>
      <c r="K292" s="6">
        <f t="shared" ca="1" si="12"/>
        <v>83.296794809862291</v>
      </c>
    </row>
    <row r="293" spans="1:11" ht="15" customHeight="1" x14ac:dyDescent="0.25">
      <c r="K293" s="6" t="e">
        <f t="shared" ca="1" si="12"/>
        <v>#REF!</v>
      </c>
    </row>
    <row r="294" spans="1:11" ht="15" customHeight="1" x14ac:dyDescent="0.25">
      <c r="A294">
        <v>2017</v>
      </c>
      <c r="B294">
        <v>46</v>
      </c>
      <c r="C294" t="s">
        <v>34</v>
      </c>
      <c r="D294" t="s">
        <v>294</v>
      </c>
      <c r="E294" s="6">
        <f t="shared" ca="1" si="14"/>
        <v>83.296794809862291</v>
      </c>
      <c r="I294" t="s">
        <v>97</v>
      </c>
      <c r="J294">
        <f>J276+1</f>
        <v>19</v>
      </c>
      <c r="K294" s="6">
        <f t="shared" ca="1" si="12"/>
        <v>83.296794809862291</v>
      </c>
    </row>
    <row r="295" spans="1:11" ht="15" customHeight="1" x14ac:dyDescent="0.25">
      <c r="K295" s="6" t="e">
        <f t="shared" ca="1" si="12"/>
        <v>#REF!</v>
      </c>
    </row>
    <row r="296" spans="1:11" ht="15" customHeight="1" x14ac:dyDescent="0.25">
      <c r="A296">
        <v>2017</v>
      </c>
      <c r="B296">
        <v>46</v>
      </c>
      <c r="C296" t="s">
        <v>34</v>
      </c>
      <c r="D296" t="s">
        <v>74</v>
      </c>
      <c r="E296" s="6">
        <f t="shared" ca="1" si="14"/>
        <v>66.637435847889833</v>
      </c>
      <c r="I296" t="s">
        <v>98</v>
      </c>
      <c r="J296">
        <f>J278+1</f>
        <v>19</v>
      </c>
      <c r="K296" s="6">
        <f t="shared" ca="1" si="12"/>
        <v>66.637435847889833</v>
      </c>
    </row>
    <row r="297" spans="1:11" ht="15" customHeight="1" x14ac:dyDescent="0.25">
      <c r="K297" s="6" t="e">
        <f t="shared" ca="1" si="12"/>
        <v>#REF!</v>
      </c>
    </row>
    <row r="298" spans="1:11" ht="15" customHeight="1" x14ac:dyDescent="0.25">
      <c r="A298">
        <v>2017</v>
      </c>
      <c r="B298">
        <v>46</v>
      </c>
      <c r="C298" t="s">
        <v>34</v>
      </c>
      <c r="D298" t="s">
        <v>75</v>
      </c>
      <c r="E298" s="6">
        <f t="shared" ca="1" si="14"/>
        <v>66.637435847889833</v>
      </c>
      <c r="I298" t="s">
        <v>98</v>
      </c>
      <c r="J298">
        <f>J280+1</f>
        <v>19</v>
      </c>
      <c r="K298" s="6">
        <f t="shared" ca="1" si="12"/>
        <v>66.637435847889833</v>
      </c>
    </row>
    <row r="299" spans="1:11" ht="15" customHeight="1" x14ac:dyDescent="0.25">
      <c r="K299" s="6" t="e">
        <f t="shared" ca="1" si="12"/>
        <v>#REF!</v>
      </c>
    </row>
    <row r="300" spans="1:11" ht="15" customHeight="1" x14ac:dyDescent="0.25">
      <c r="A300">
        <v>2017</v>
      </c>
      <c r="B300">
        <v>46</v>
      </c>
      <c r="C300" t="s">
        <v>34</v>
      </c>
      <c r="D300" t="s">
        <v>76</v>
      </c>
      <c r="E300" s="6">
        <f t="shared" ca="1" si="14"/>
        <v>66.637435847889833</v>
      </c>
      <c r="I300" t="s">
        <v>98</v>
      </c>
      <c r="J300">
        <f>J282+1</f>
        <v>19</v>
      </c>
      <c r="K300" s="6">
        <f t="shared" ca="1" si="12"/>
        <v>66.637435847889833</v>
      </c>
    </row>
    <row r="301" spans="1:11" ht="15" customHeight="1" x14ac:dyDescent="0.25">
      <c r="K301" s="6" t="e">
        <f t="shared" ca="1" si="12"/>
        <v>#REF!</v>
      </c>
    </row>
    <row r="302" spans="1:11" ht="15" customHeight="1" x14ac:dyDescent="0.25">
      <c r="A302">
        <v>2017</v>
      </c>
      <c r="B302">
        <v>46</v>
      </c>
      <c r="C302" t="s">
        <v>34</v>
      </c>
      <c r="D302" t="s">
        <v>77</v>
      </c>
      <c r="E302" s="6">
        <f t="shared" ca="1" si="14"/>
        <v>20</v>
      </c>
      <c r="I302" t="s">
        <v>99</v>
      </c>
      <c r="J302">
        <f>J284+1</f>
        <v>19</v>
      </c>
      <c r="K302" s="6">
        <f t="shared" ca="1" si="12"/>
        <v>20</v>
      </c>
    </row>
    <row r="303" spans="1:11" ht="15" customHeight="1" x14ac:dyDescent="0.25">
      <c r="K303" s="6" t="e">
        <f t="shared" ca="1" si="12"/>
        <v>#REF!</v>
      </c>
    </row>
    <row r="304" spans="1:11" ht="15" customHeight="1" x14ac:dyDescent="0.25">
      <c r="A304">
        <v>2017</v>
      </c>
      <c r="B304">
        <v>46</v>
      </c>
      <c r="C304" t="s">
        <v>34</v>
      </c>
      <c r="D304" t="s">
        <v>78</v>
      </c>
      <c r="E304" s="6">
        <f t="shared" ca="1" si="14"/>
        <v>20</v>
      </c>
      <c r="I304" t="s">
        <v>99</v>
      </c>
      <c r="J304">
        <f>J286+1</f>
        <v>19</v>
      </c>
      <c r="K304" s="6">
        <f t="shared" ca="1" si="12"/>
        <v>20</v>
      </c>
    </row>
    <row r="305" spans="1:11" ht="15" customHeight="1" x14ac:dyDescent="0.25">
      <c r="K305" s="6" t="e">
        <f t="shared" ca="1" si="12"/>
        <v>#REF!</v>
      </c>
    </row>
    <row r="306" spans="1:11" ht="15" customHeight="1" x14ac:dyDescent="0.25">
      <c r="A306">
        <v>2017</v>
      </c>
      <c r="B306">
        <v>46</v>
      </c>
      <c r="C306" t="s">
        <v>34</v>
      </c>
      <c r="D306" t="s">
        <v>79</v>
      </c>
      <c r="E306" s="6">
        <f t="shared" ca="1" si="14"/>
        <v>20</v>
      </c>
      <c r="I306" t="s">
        <v>99</v>
      </c>
      <c r="J306">
        <f>J288+1</f>
        <v>19</v>
      </c>
      <c r="K306" s="6">
        <f t="shared" ca="1" si="12"/>
        <v>20</v>
      </c>
    </row>
    <row r="308" spans="1:11" ht="15" customHeight="1" x14ac:dyDescent="0.25">
      <c r="A308">
        <v>2017</v>
      </c>
      <c r="B308">
        <v>68</v>
      </c>
      <c r="C308" t="s">
        <v>92</v>
      </c>
      <c r="D308" t="s">
        <v>292</v>
      </c>
      <c r="E308" s="6">
        <f t="shared" ca="1" si="14"/>
        <v>54.317758477062306</v>
      </c>
      <c r="I308" t="s">
        <v>97</v>
      </c>
      <c r="J308">
        <f>J290+1</f>
        <v>20</v>
      </c>
      <c r="K308" s="6">
        <f ca="1">INDIRECT(CONCATENATE("'P Fertilizer Rate'!",I308,J308))</f>
        <v>54.317758477062306</v>
      </c>
    </row>
    <row r="309" spans="1:11" ht="15" customHeight="1" x14ac:dyDescent="0.25">
      <c r="K309" s="6" t="e">
        <f t="shared" ca="1" si="13"/>
        <v>#REF!</v>
      </c>
    </row>
    <row r="310" spans="1:11" ht="15" customHeight="1" x14ac:dyDescent="0.25">
      <c r="A310">
        <v>2017</v>
      </c>
      <c r="B310">
        <v>68</v>
      </c>
      <c r="C310" t="s">
        <v>92</v>
      </c>
      <c r="D310" t="s">
        <v>293</v>
      </c>
      <c r="E310" s="6">
        <f t="shared" ca="1" si="14"/>
        <v>54.317758477062306</v>
      </c>
      <c r="I310" t="s">
        <v>97</v>
      </c>
      <c r="J310">
        <f>J292+1</f>
        <v>20</v>
      </c>
      <c r="K310" s="6">
        <f t="shared" ca="1" si="13"/>
        <v>54.317758477062306</v>
      </c>
    </row>
    <row r="311" spans="1:11" ht="15" customHeight="1" x14ac:dyDescent="0.25">
      <c r="K311" s="6" t="e">
        <f t="shared" ca="1" si="13"/>
        <v>#REF!</v>
      </c>
    </row>
    <row r="312" spans="1:11" ht="15" customHeight="1" x14ac:dyDescent="0.25">
      <c r="A312">
        <v>2017</v>
      </c>
      <c r="B312">
        <v>68</v>
      </c>
      <c r="C312" t="s">
        <v>92</v>
      </c>
      <c r="D312" t="s">
        <v>294</v>
      </c>
      <c r="E312" s="6">
        <f t="shared" ca="1" si="14"/>
        <v>54.317758477062306</v>
      </c>
      <c r="I312" t="s">
        <v>97</v>
      </c>
      <c r="J312">
        <f>J294+1</f>
        <v>20</v>
      </c>
      <c r="K312" s="6">
        <f t="shared" ca="1" si="13"/>
        <v>54.317758477062306</v>
      </c>
    </row>
    <row r="313" spans="1:11" ht="15" customHeight="1" x14ac:dyDescent="0.25">
      <c r="K313" s="6" t="e">
        <f t="shared" ca="1" si="13"/>
        <v>#REF!</v>
      </c>
    </row>
    <row r="314" spans="1:11" ht="15" customHeight="1" x14ac:dyDescent="0.25">
      <c r="A314">
        <v>2017</v>
      </c>
      <c r="B314">
        <v>68</v>
      </c>
      <c r="C314" t="s">
        <v>92</v>
      </c>
      <c r="D314" t="s">
        <v>74</v>
      </c>
      <c r="E314" s="6">
        <f t="shared" ca="1" si="14"/>
        <v>43.454206781649845</v>
      </c>
      <c r="I314" t="s">
        <v>98</v>
      </c>
      <c r="J314">
        <f>J296+1</f>
        <v>20</v>
      </c>
      <c r="K314" s="6">
        <f t="shared" ca="1" si="13"/>
        <v>43.454206781649845</v>
      </c>
    </row>
    <row r="315" spans="1:11" ht="15" customHeight="1" x14ac:dyDescent="0.25">
      <c r="K315" s="6" t="e">
        <f t="shared" ca="1" si="13"/>
        <v>#REF!</v>
      </c>
    </row>
    <row r="316" spans="1:11" ht="15" customHeight="1" x14ac:dyDescent="0.25">
      <c r="A316">
        <v>2017</v>
      </c>
      <c r="B316">
        <v>68</v>
      </c>
      <c r="C316" t="s">
        <v>92</v>
      </c>
      <c r="D316" t="s">
        <v>75</v>
      </c>
      <c r="E316" s="6">
        <f t="shared" ca="1" si="14"/>
        <v>43.454206781649845</v>
      </c>
      <c r="I316" t="s">
        <v>98</v>
      </c>
      <c r="J316">
        <f>J298+1</f>
        <v>20</v>
      </c>
      <c r="K316" s="6">
        <f t="shared" ca="1" si="13"/>
        <v>43.454206781649845</v>
      </c>
    </row>
    <row r="317" spans="1:11" ht="15" customHeight="1" x14ac:dyDescent="0.25">
      <c r="K317" s="6" t="e">
        <f t="shared" ca="1" si="13"/>
        <v>#REF!</v>
      </c>
    </row>
    <row r="318" spans="1:11" ht="15" customHeight="1" x14ac:dyDescent="0.25">
      <c r="A318">
        <v>2017</v>
      </c>
      <c r="B318">
        <v>68</v>
      </c>
      <c r="C318" t="s">
        <v>92</v>
      </c>
      <c r="D318" t="s">
        <v>76</v>
      </c>
      <c r="E318" s="6">
        <f t="shared" ca="1" si="14"/>
        <v>43.454206781649845</v>
      </c>
      <c r="I318" t="s">
        <v>98</v>
      </c>
      <c r="J318">
        <f>J300+1</f>
        <v>20</v>
      </c>
      <c r="K318" s="6">
        <f t="shared" ca="1" si="13"/>
        <v>43.454206781649845</v>
      </c>
    </row>
    <row r="319" spans="1:11" ht="15" customHeight="1" x14ac:dyDescent="0.25">
      <c r="K319" s="6" t="e">
        <f t="shared" ca="1" si="13"/>
        <v>#REF!</v>
      </c>
    </row>
    <row r="320" spans="1:11" ht="15" customHeight="1" x14ac:dyDescent="0.25">
      <c r="A320">
        <v>2017</v>
      </c>
      <c r="B320">
        <v>68</v>
      </c>
      <c r="C320" t="s">
        <v>92</v>
      </c>
      <c r="D320" t="s">
        <v>77</v>
      </c>
      <c r="E320" s="6">
        <f t="shared" ca="1" si="14"/>
        <v>20</v>
      </c>
      <c r="I320" t="s">
        <v>99</v>
      </c>
      <c r="J320">
        <f>J302+1</f>
        <v>20</v>
      </c>
      <c r="K320" s="6">
        <f t="shared" ca="1" si="13"/>
        <v>20</v>
      </c>
    </row>
    <row r="321" spans="1:11" ht="15" customHeight="1" x14ac:dyDescent="0.25">
      <c r="K321" s="6" t="e">
        <f t="shared" ca="1" si="13"/>
        <v>#REF!</v>
      </c>
    </row>
    <row r="322" spans="1:11" ht="15" customHeight="1" x14ac:dyDescent="0.25">
      <c r="A322">
        <v>2017</v>
      </c>
      <c r="B322">
        <v>68</v>
      </c>
      <c r="C322" t="s">
        <v>92</v>
      </c>
      <c r="D322" t="s">
        <v>78</v>
      </c>
      <c r="E322" s="6">
        <f t="shared" ca="1" si="14"/>
        <v>20</v>
      </c>
      <c r="I322" t="s">
        <v>99</v>
      </c>
      <c r="J322">
        <f>J304+1</f>
        <v>20</v>
      </c>
      <c r="K322" s="6">
        <f t="shared" ca="1" si="13"/>
        <v>20</v>
      </c>
    </row>
    <row r="323" spans="1:11" ht="15" customHeight="1" x14ac:dyDescent="0.25">
      <c r="K323" s="6" t="e">
        <f t="shared" ca="1" si="13"/>
        <v>#REF!</v>
      </c>
    </row>
    <row r="324" spans="1:11" ht="15" customHeight="1" x14ac:dyDescent="0.25">
      <c r="A324">
        <v>2017</v>
      </c>
      <c r="B324">
        <v>68</v>
      </c>
      <c r="C324" t="s">
        <v>92</v>
      </c>
      <c r="D324" t="s">
        <v>79</v>
      </c>
      <c r="E324" s="6">
        <f t="shared" ca="1" si="14"/>
        <v>20</v>
      </c>
      <c r="I324" t="s">
        <v>99</v>
      </c>
      <c r="J324">
        <f>J306+1</f>
        <v>20</v>
      </c>
      <c r="K324" s="6">
        <f t="shared" ca="1" si="13"/>
        <v>20</v>
      </c>
    </row>
    <row r="326" spans="1:11" ht="15" customHeight="1" x14ac:dyDescent="0.25">
      <c r="A326">
        <v>2017</v>
      </c>
      <c r="B326">
        <v>56</v>
      </c>
      <c r="C326" t="s">
        <v>36</v>
      </c>
      <c r="D326" t="s">
        <v>292</v>
      </c>
      <c r="E326" s="6">
        <f t="shared" ca="1" si="14"/>
        <v>69.311397802045903</v>
      </c>
      <c r="I326" t="s">
        <v>97</v>
      </c>
      <c r="J326">
        <f>J308+1</f>
        <v>21</v>
      </c>
      <c r="K326" s="6">
        <f t="shared" ref="K326:K378" ca="1" si="15">INDIRECT(CONCATENATE("'P Fertilizer Rate'!",I326,J326))</f>
        <v>69.311397802045903</v>
      </c>
    </row>
    <row r="327" spans="1:11" ht="15" customHeight="1" x14ac:dyDescent="0.25">
      <c r="K327" s="6" t="e">
        <f t="shared" ca="1" si="15"/>
        <v>#REF!</v>
      </c>
    </row>
    <row r="328" spans="1:11" ht="15" customHeight="1" x14ac:dyDescent="0.25">
      <c r="A328">
        <v>2017</v>
      </c>
      <c r="B328">
        <v>56</v>
      </c>
      <c r="C328" t="s">
        <v>36</v>
      </c>
      <c r="D328" t="s">
        <v>293</v>
      </c>
      <c r="E328" s="6">
        <f t="shared" ca="1" si="14"/>
        <v>69.311397802045903</v>
      </c>
      <c r="I328" t="s">
        <v>97</v>
      </c>
      <c r="J328">
        <f>J310+1</f>
        <v>21</v>
      </c>
      <c r="K328" s="6">
        <f t="shared" ca="1" si="15"/>
        <v>69.311397802045903</v>
      </c>
    </row>
    <row r="329" spans="1:11" ht="15" customHeight="1" x14ac:dyDescent="0.25">
      <c r="K329" s="6" t="e">
        <f t="shared" ca="1" si="15"/>
        <v>#REF!</v>
      </c>
    </row>
    <row r="330" spans="1:11" ht="15" customHeight="1" x14ac:dyDescent="0.25">
      <c r="A330">
        <v>2017</v>
      </c>
      <c r="B330">
        <v>56</v>
      </c>
      <c r="C330" t="s">
        <v>36</v>
      </c>
      <c r="D330" t="s">
        <v>294</v>
      </c>
      <c r="E330" s="6">
        <f t="shared" ca="1" si="14"/>
        <v>69.311397802045903</v>
      </c>
      <c r="I330" t="s">
        <v>97</v>
      </c>
      <c r="J330">
        <f>J312+1</f>
        <v>21</v>
      </c>
      <c r="K330" s="6">
        <f t="shared" ca="1" si="15"/>
        <v>69.311397802045903</v>
      </c>
    </row>
    <row r="331" spans="1:11" ht="15" customHeight="1" x14ac:dyDescent="0.25">
      <c r="K331" s="6" t="e">
        <f t="shared" ca="1" si="15"/>
        <v>#REF!</v>
      </c>
    </row>
    <row r="332" spans="1:11" ht="15" customHeight="1" x14ac:dyDescent="0.25">
      <c r="A332">
        <v>2017</v>
      </c>
      <c r="B332">
        <v>56</v>
      </c>
      <c r="C332" t="s">
        <v>36</v>
      </c>
      <c r="D332" t="s">
        <v>74</v>
      </c>
      <c r="E332" s="6">
        <f t="shared" ca="1" si="14"/>
        <v>55.449118241636718</v>
      </c>
      <c r="I332" t="s">
        <v>98</v>
      </c>
      <c r="J332">
        <f>J314+1</f>
        <v>21</v>
      </c>
      <c r="K332" s="6">
        <f t="shared" ca="1" si="15"/>
        <v>55.449118241636718</v>
      </c>
    </row>
    <row r="333" spans="1:11" ht="15" customHeight="1" x14ac:dyDescent="0.25">
      <c r="K333" s="6" t="e">
        <f t="shared" ca="1" si="15"/>
        <v>#REF!</v>
      </c>
    </row>
    <row r="334" spans="1:11" ht="15" customHeight="1" x14ac:dyDescent="0.25">
      <c r="A334">
        <v>2017</v>
      </c>
      <c r="B334">
        <v>56</v>
      </c>
      <c r="C334" t="s">
        <v>36</v>
      </c>
      <c r="D334" t="s">
        <v>75</v>
      </c>
      <c r="E334" s="6">
        <f t="shared" ca="1" si="14"/>
        <v>55.449118241636718</v>
      </c>
      <c r="I334" t="s">
        <v>98</v>
      </c>
      <c r="J334">
        <f>J316+1</f>
        <v>21</v>
      </c>
      <c r="K334" s="6">
        <f t="shared" ca="1" si="15"/>
        <v>55.449118241636718</v>
      </c>
    </row>
    <row r="335" spans="1:11" ht="15" customHeight="1" x14ac:dyDescent="0.25">
      <c r="K335" s="6" t="e">
        <f t="shared" ca="1" si="15"/>
        <v>#REF!</v>
      </c>
    </row>
    <row r="336" spans="1:11" ht="15" customHeight="1" x14ac:dyDescent="0.25">
      <c r="A336">
        <v>2017</v>
      </c>
      <c r="B336">
        <v>56</v>
      </c>
      <c r="C336" t="s">
        <v>36</v>
      </c>
      <c r="D336" t="s">
        <v>76</v>
      </c>
      <c r="E336" s="6">
        <f t="shared" ca="1" si="14"/>
        <v>55.449118241636718</v>
      </c>
      <c r="I336" t="s">
        <v>98</v>
      </c>
      <c r="J336">
        <f>J318+1</f>
        <v>21</v>
      </c>
      <c r="K336" s="6">
        <f t="shared" ca="1" si="15"/>
        <v>55.449118241636718</v>
      </c>
    </row>
    <row r="337" spans="1:11" ht="15" customHeight="1" x14ac:dyDescent="0.25">
      <c r="K337" s="6" t="e">
        <f t="shared" ca="1" si="15"/>
        <v>#REF!</v>
      </c>
    </row>
    <row r="338" spans="1:11" ht="15" customHeight="1" x14ac:dyDescent="0.25">
      <c r="A338">
        <v>2017</v>
      </c>
      <c r="B338">
        <v>56</v>
      </c>
      <c r="C338" t="s">
        <v>36</v>
      </c>
      <c r="D338" t="s">
        <v>77</v>
      </c>
      <c r="E338" s="6">
        <f t="shared" ref="E338:E400" ca="1" si="16">K338</f>
        <v>20</v>
      </c>
      <c r="I338" t="s">
        <v>99</v>
      </c>
      <c r="J338">
        <f>J320+1</f>
        <v>21</v>
      </c>
      <c r="K338" s="6">
        <f t="shared" ca="1" si="15"/>
        <v>20</v>
      </c>
    </row>
    <row r="339" spans="1:11" ht="15" customHeight="1" x14ac:dyDescent="0.25">
      <c r="K339" s="6" t="e">
        <f t="shared" ca="1" si="15"/>
        <v>#REF!</v>
      </c>
    </row>
    <row r="340" spans="1:11" ht="15" customHeight="1" x14ac:dyDescent="0.25">
      <c r="A340">
        <v>2017</v>
      </c>
      <c r="B340">
        <v>56</v>
      </c>
      <c r="C340" t="s">
        <v>36</v>
      </c>
      <c r="D340" t="s">
        <v>78</v>
      </c>
      <c r="E340" s="6">
        <f t="shared" ca="1" si="16"/>
        <v>20</v>
      </c>
      <c r="I340" t="s">
        <v>99</v>
      </c>
      <c r="J340">
        <f>J322+1</f>
        <v>21</v>
      </c>
      <c r="K340" s="6">
        <f t="shared" ca="1" si="15"/>
        <v>20</v>
      </c>
    </row>
    <row r="341" spans="1:11" ht="15" customHeight="1" x14ac:dyDescent="0.25">
      <c r="K341" s="6" t="e">
        <f t="shared" ca="1" si="15"/>
        <v>#REF!</v>
      </c>
    </row>
    <row r="342" spans="1:11" ht="15" customHeight="1" x14ac:dyDescent="0.25">
      <c r="A342">
        <v>2017</v>
      </c>
      <c r="B342">
        <v>56</v>
      </c>
      <c r="C342" t="s">
        <v>36</v>
      </c>
      <c r="D342" t="s">
        <v>79</v>
      </c>
      <c r="E342" s="6">
        <f t="shared" ca="1" si="16"/>
        <v>20</v>
      </c>
      <c r="I342" t="s">
        <v>99</v>
      </c>
      <c r="J342">
        <f>J324+1</f>
        <v>21</v>
      </c>
      <c r="K342" s="6">
        <f t="shared" ca="1" si="15"/>
        <v>20</v>
      </c>
    </row>
    <row r="344" spans="1:11" ht="15" customHeight="1" x14ac:dyDescent="0.25">
      <c r="A344">
        <v>2017</v>
      </c>
      <c r="B344">
        <v>7</v>
      </c>
      <c r="C344" t="s">
        <v>37</v>
      </c>
      <c r="D344" t="s">
        <v>292</v>
      </c>
      <c r="E344" s="6">
        <f t="shared" ca="1" si="16"/>
        <v>74.829751797288736</v>
      </c>
      <c r="I344" t="s">
        <v>97</v>
      </c>
      <c r="J344">
        <f>J326+1</f>
        <v>22</v>
      </c>
      <c r="K344" s="6">
        <f t="shared" ref="K344:K396" ca="1" si="17">INDIRECT(CONCATENATE("'P Fertilizer Rate'!",I344,J344))</f>
        <v>74.829751797288736</v>
      </c>
    </row>
    <row r="345" spans="1:11" ht="15" customHeight="1" x14ac:dyDescent="0.25">
      <c r="K345" s="6" t="e">
        <f t="shared" ca="1" si="17"/>
        <v>#REF!</v>
      </c>
    </row>
    <row r="346" spans="1:11" ht="15" customHeight="1" x14ac:dyDescent="0.25">
      <c r="A346">
        <v>2017</v>
      </c>
      <c r="B346">
        <v>7</v>
      </c>
      <c r="C346" t="s">
        <v>37</v>
      </c>
      <c r="D346" t="s">
        <v>293</v>
      </c>
      <c r="E346" s="6">
        <f t="shared" ca="1" si="16"/>
        <v>74.829751797288736</v>
      </c>
      <c r="I346" t="s">
        <v>97</v>
      </c>
      <c r="J346">
        <f>J328+1</f>
        <v>22</v>
      </c>
      <c r="K346" s="6">
        <f t="shared" ca="1" si="17"/>
        <v>74.829751797288736</v>
      </c>
    </row>
    <row r="347" spans="1:11" ht="15" customHeight="1" x14ac:dyDescent="0.25">
      <c r="K347" s="6" t="e">
        <f t="shared" ca="1" si="17"/>
        <v>#REF!</v>
      </c>
    </row>
    <row r="348" spans="1:11" ht="15" customHeight="1" x14ac:dyDescent="0.25">
      <c r="A348">
        <v>2017</v>
      </c>
      <c r="B348">
        <v>7</v>
      </c>
      <c r="C348" t="s">
        <v>37</v>
      </c>
      <c r="D348" t="s">
        <v>294</v>
      </c>
      <c r="E348" s="6">
        <f t="shared" ca="1" si="16"/>
        <v>74.829751797288736</v>
      </c>
      <c r="I348" t="s">
        <v>97</v>
      </c>
      <c r="J348">
        <f>J330+1</f>
        <v>22</v>
      </c>
      <c r="K348" s="6">
        <f t="shared" ca="1" si="17"/>
        <v>74.829751797288736</v>
      </c>
    </row>
    <row r="349" spans="1:11" ht="15" customHeight="1" x14ac:dyDescent="0.25">
      <c r="K349" s="6" t="e">
        <f t="shared" ca="1" si="17"/>
        <v>#REF!</v>
      </c>
    </row>
    <row r="350" spans="1:11" ht="15" customHeight="1" x14ac:dyDescent="0.25">
      <c r="A350">
        <v>2017</v>
      </c>
      <c r="B350">
        <v>7</v>
      </c>
      <c r="C350" t="s">
        <v>37</v>
      </c>
      <c r="D350" t="s">
        <v>74</v>
      </c>
      <c r="E350" s="6">
        <f t="shared" ca="1" si="16"/>
        <v>59.863801437830993</v>
      </c>
      <c r="I350" t="s">
        <v>98</v>
      </c>
      <c r="J350">
        <f>J332+1</f>
        <v>22</v>
      </c>
      <c r="K350" s="6">
        <f t="shared" ca="1" si="17"/>
        <v>59.863801437830993</v>
      </c>
    </row>
    <row r="351" spans="1:11" ht="15" customHeight="1" x14ac:dyDescent="0.25">
      <c r="K351" s="6" t="e">
        <f t="shared" ca="1" si="17"/>
        <v>#REF!</v>
      </c>
    </row>
    <row r="352" spans="1:11" ht="15" customHeight="1" x14ac:dyDescent="0.25">
      <c r="A352">
        <v>2017</v>
      </c>
      <c r="B352">
        <v>7</v>
      </c>
      <c r="C352" t="s">
        <v>37</v>
      </c>
      <c r="D352" t="s">
        <v>75</v>
      </c>
      <c r="E352" s="6">
        <f t="shared" ca="1" si="16"/>
        <v>59.863801437830993</v>
      </c>
      <c r="I352" t="s">
        <v>98</v>
      </c>
      <c r="J352">
        <f>J334+1</f>
        <v>22</v>
      </c>
      <c r="K352" s="6">
        <f t="shared" ca="1" si="17"/>
        <v>59.863801437830993</v>
      </c>
    </row>
    <row r="353" spans="1:11" ht="15" customHeight="1" x14ac:dyDescent="0.25">
      <c r="K353" s="6" t="e">
        <f t="shared" ca="1" si="17"/>
        <v>#REF!</v>
      </c>
    </row>
    <row r="354" spans="1:11" ht="15" customHeight="1" x14ac:dyDescent="0.25">
      <c r="A354">
        <v>2017</v>
      </c>
      <c r="B354">
        <v>7</v>
      </c>
      <c r="C354" t="s">
        <v>37</v>
      </c>
      <c r="D354" t="s">
        <v>76</v>
      </c>
      <c r="E354" s="6">
        <f t="shared" ca="1" si="16"/>
        <v>59.863801437830993</v>
      </c>
      <c r="I354" t="s">
        <v>98</v>
      </c>
      <c r="J354">
        <f>J336+1</f>
        <v>22</v>
      </c>
      <c r="K354" s="6">
        <f t="shared" ca="1" si="17"/>
        <v>59.863801437830993</v>
      </c>
    </row>
    <row r="355" spans="1:11" ht="15" customHeight="1" x14ac:dyDescent="0.25">
      <c r="K355" s="6" t="e">
        <f t="shared" ca="1" si="17"/>
        <v>#REF!</v>
      </c>
    </row>
    <row r="356" spans="1:11" ht="15" customHeight="1" x14ac:dyDescent="0.25">
      <c r="A356">
        <v>2017</v>
      </c>
      <c r="B356">
        <v>7</v>
      </c>
      <c r="C356" t="s">
        <v>37</v>
      </c>
      <c r="D356" t="s">
        <v>77</v>
      </c>
      <c r="E356" s="6">
        <f t="shared" ca="1" si="16"/>
        <v>20</v>
      </c>
      <c r="I356" t="s">
        <v>99</v>
      </c>
      <c r="J356">
        <f>J338+1</f>
        <v>22</v>
      </c>
      <c r="K356" s="6">
        <f t="shared" ca="1" si="17"/>
        <v>20</v>
      </c>
    </row>
    <row r="357" spans="1:11" ht="15" customHeight="1" x14ac:dyDescent="0.25">
      <c r="K357" s="6" t="e">
        <f t="shared" ca="1" si="17"/>
        <v>#REF!</v>
      </c>
    </row>
    <row r="358" spans="1:11" ht="15" customHeight="1" x14ac:dyDescent="0.25">
      <c r="A358">
        <v>2017</v>
      </c>
      <c r="B358">
        <v>7</v>
      </c>
      <c r="C358" t="s">
        <v>37</v>
      </c>
      <c r="D358" t="s">
        <v>78</v>
      </c>
      <c r="E358" s="6">
        <f t="shared" ca="1" si="16"/>
        <v>20</v>
      </c>
      <c r="I358" t="s">
        <v>99</v>
      </c>
      <c r="J358">
        <f>J340+1</f>
        <v>22</v>
      </c>
      <c r="K358" s="6">
        <f t="shared" ca="1" si="17"/>
        <v>20</v>
      </c>
    </row>
    <row r="359" spans="1:11" ht="15" customHeight="1" x14ac:dyDescent="0.25">
      <c r="K359" s="6" t="e">
        <f t="shared" ca="1" si="17"/>
        <v>#REF!</v>
      </c>
    </row>
    <row r="360" spans="1:11" ht="15" customHeight="1" x14ac:dyDescent="0.25">
      <c r="A360">
        <v>2017</v>
      </c>
      <c r="B360">
        <v>7</v>
      </c>
      <c r="C360" t="s">
        <v>37</v>
      </c>
      <c r="D360" t="s">
        <v>79</v>
      </c>
      <c r="E360" s="6">
        <f t="shared" ca="1" si="16"/>
        <v>20</v>
      </c>
      <c r="I360" t="s">
        <v>99</v>
      </c>
      <c r="J360">
        <f>J342+1</f>
        <v>22</v>
      </c>
      <c r="K360" s="6">
        <f t="shared" ca="1" si="17"/>
        <v>20</v>
      </c>
    </row>
    <row r="362" spans="1:11" ht="15" customHeight="1" x14ac:dyDescent="0.25">
      <c r="A362">
        <v>2017</v>
      </c>
      <c r="B362">
        <v>64</v>
      </c>
      <c r="C362" t="s">
        <v>38</v>
      </c>
      <c r="D362" t="s">
        <v>292</v>
      </c>
      <c r="E362" s="6">
        <f t="shared" ca="1" si="16"/>
        <v>71.553549749031987</v>
      </c>
      <c r="I362" t="s">
        <v>97</v>
      </c>
      <c r="J362">
        <f>J344+1</f>
        <v>23</v>
      </c>
      <c r="K362" s="6">
        <f ca="1">INDIRECT(CONCATENATE("'P Fertilizer Rate'!",I362,J362))</f>
        <v>71.553549749031987</v>
      </c>
    </row>
    <row r="363" spans="1:11" ht="15" customHeight="1" x14ac:dyDescent="0.25">
      <c r="K363" s="6" t="e">
        <f t="shared" ca="1" si="15"/>
        <v>#REF!</v>
      </c>
    </row>
    <row r="364" spans="1:11" ht="15" customHeight="1" x14ac:dyDescent="0.25">
      <c r="A364">
        <v>2017</v>
      </c>
      <c r="B364">
        <v>64</v>
      </c>
      <c r="C364" t="s">
        <v>38</v>
      </c>
      <c r="D364" t="s">
        <v>293</v>
      </c>
      <c r="E364" s="6">
        <f t="shared" ca="1" si="16"/>
        <v>71.553549749031987</v>
      </c>
      <c r="I364" t="s">
        <v>97</v>
      </c>
      <c r="J364">
        <f>J346+1</f>
        <v>23</v>
      </c>
      <c r="K364" s="6">
        <f t="shared" ca="1" si="15"/>
        <v>71.553549749031987</v>
      </c>
    </row>
    <row r="365" spans="1:11" ht="15" customHeight="1" x14ac:dyDescent="0.25">
      <c r="K365" s="6" t="e">
        <f t="shared" ca="1" si="15"/>
        <v>#REF!</v>
      </c>
    </row>
    <row r="366" spans="1:11" ht="15" customHeight="1" x14ac:dyDescent="0.25">
      <c r="A366">
        <v>2017</v>
      </c>
      <c r="B366">
        <v>64</v>
      </c>
      <c r="C366" t="s">
        <v>38</v>
      </c>
      <c r="D366" t="s">
        <v>294</v>
      </c>
      <c r="E366" s="6">
        <f t="shared" ca="1" si="16"/>
        <v>71.553549749031987</v>
      </c>
      <c r="I366" t="s">
        <v>97</v>
      </c>
      <c r="J366">
        <f>J348+1</f>
        <v>23</v>
      </c>
      <c r="K366" s="6">
        <f t="shared" ca="1" si="15"/>
        <v>71.553549749031987</v>
      </c>
    </row>
    <row r="367" spans="1:11" ht="15" customHeight="1" x14ac:dyDescent="0.25">
      <c r="K367" s="6" t="e">
        <f t="shared" ca="1" si="15"/>
        <v>#REF!</v>
      </c>
    </row>
    <row r="368" spans="1:11" ht="15" customHeight="1" x14ac:dyDescent="0.25">
      <c r="A368">
        <v>2017</v>
      </c>
      <c r="B368">
        <v>64</v>
      </c>
      <c r="C368" t="s">
        <v>38</v>
      </c>
      <c r="D368" t="s">
        <v>74</v>
      </c>
      <c r="E368" s="6">
        <f t="shared" ca="1" si="16"/>
        <v>57.242839799225592</v>
      </c>
      <c r="I368" t="s">
        <v>98</v>
      </c>
      <c r="J368">
        <f>J350+1</f>
        <v>23</v>
      </c>
      <c r="K368" s="6">
        <f t="shared" ca="1" si="15"/>
        <v>57.242839799225592</v>
      </c>
    </row>
    <row r="369" spans="1:11" ht="15" customHeight="1" x14ac:dyDescent="0.25">
      <c r="K369" s="6" t="e">
        <f t="shared" ca="1" si="15"/>
        <v>#REF!</v>
      </c>
    </row>
    <row r="370" spans="1:11" ht="15" customHeight="1" x14ac:dyDescent="0.25">
      <c r="A370">
        <v>2017</v>
      </c>
      <c r="B370">
        <v>64</v>
      </c>
      <c r="C370" t="s">
        <v>38</v>
      </c>
      <c r="D370" t="s">
        <v>75</v>
      </c>
      <c r="E370" s="6">
        <f t="shared" ca="1" si="16"/>
        <v>57.242839799225592</v>
      </c>
      <c r="I370" t="s">
        <v>98</v>
      </c>
      <c r="J370">
        <f>J352+1</f>
        <v>23</v>
      </c>
      <c r="K370" s="6">
        <f t="shared" ca="1" si="15"/>
        <v>57.242839799225592</v>
      </c>
    </row>
    <row r="371" spans="1:11" ht="15" customHeight="1" x14ac:dyDescent="0.25">
      <c r="K371" s="6" t="e">
        <f t="shared" ca="1" si="15"/>
        <v>#REF!</v>
      </c>
    </row>
    <row r="372" spans="1:11" ht="15" customHeight="1" x14ac:dyDescent="0.25">
      <c r="A372">
        <v>2017</v>
      </c>
      <c r="B372">
        <v>64</v>
      </c>
      <c r="C372" t="s">
        <v>38</v>
      </c>
      <c r="D372" t="s">
        <v>76</v>
      </c>
      <c r="E372" s="6">
        <f t="shared" ca="1" si="16"/>
        <v>57.242839799225592</v>
      </c>
      <c r="I372" t="s">
        <v>98</v>
      </c>
      <c r="J372">
        <f>J354+1</f>
        <v>23</v>
      </c>
      <c r="K372" s="6">
        <f t="shared" ca="1" si="15"/>
        <v>57.242839799225592</v>
      </c>
    </row>
    <row r="373" spans="1:11" ht="15" customHeight="1" x14ac:dyDescent="0.25">
      <c r="K373" s="6" t="e">
        <f t="shared" ca="1" si="15"/>
        <v>#REF!</v>
      </c>
    </row>
    <row r="374" spans="1:11" ht="15" customHeight="1" x14ac:dyDescent="0.25">
      <c r="A374">
        <v>2017</v>
      </c>
      <c r="B374">
        <v>64</v>
      </c>
      <c r="C374" t="s">
        <v>38</v>
      </c>
      <c r="D374" t="s">
        <v>77</v>
      </c>
      <c r="E374" s="6">
        <f t="shared" ca="1" si="16"/>
        <v>20</v>
      </c>
      <c r="I374" t="s">
        <v>99</v>
      </c>
      <c r="J374">
        <f>J356+1</f>
        <v>23</v>
      </c>
      <c r="K374" s="6">
        <f t="shared" ca="1" si="15"/>
        <v>20</v>
      </c>
    </row>
    <row r="375" spans="1:11" ht="15" customHeight="1" x14ac:dyDescent="0.25">
      <c r="K375" s="6" t="e">
        <f t="shared" ca="1" si="15"/>
        <v>#REF!</v>
      </c>
    </row>
    <row r="376" spans="1:11" ht="15" customHeight="1" x14ac:dyDescent="0.25">
      <c r="A376">
        <v>2017</v>
      </c>
      <c r="B376">
        <v>64</v>
      </c>
      <c r="C376" t="s">
        <v>38</v>
      </c>
      <c r="D376" t="s">
        <v>78</v>
      </c>
      <c r="E376" s="6">
        <f t="shared" ca="1" si="16"/>
        <v>20</v>
      </c>
      <c r="I376" t="s">
        <v>99</v>
      </c>
      <c r="J376">
        <f>J358+1</f>
        <v>23</v>
      </c>
      <c r="K376" s="6">
        <f t="shared" ca="1" si="15"/>
        <v>20</v>
      </c>
    </row>
    <row r="377" spans="1:11" ht="15" customHeight="1" x14ac:dyDescent="0.25">
      <c r="K377" s="6" t="e">
        <f t="shared" ca="1" si="15"/>
        <v>#REF!</v>
      </c>
    </row>
    <row r="378" spans="1:11" ht="15" customHeight="1" x14ac:dyDescent="0.25">
      <c r="A378">
        <v>2017</v>
      </c>
      <c r="B378">
        <v>64</v>
      </c>
      <c r="C378" t="s">
        <v>38</v>
      </c>
      <c r="D378" t="s">
        <v>79</v>
      </c>
      <c r="E378" s="6">
        <f t="shared" ca="1" si="16"/>
        <v>20</v>
      </c>
      <c r="I378" t="s">
        <v>99</v>
      </c>
      <c r="J378">
        <f>J360+1</f>
        <v>23</v>
      </c>
      <c r="K378" s="6">
        <f t="shared" ca="1" si="15"/>
        <v>20</v>
      </c>
    </row>
    <row r="380" spans="1:11" ht="15" customHeight="1" x14ac:dyDescent="0.25">
      <c r="A380">
        <v>2017</v>
      </c>
      <c r="B380">
        <v>10</v>
      </c>
      <c r="C380" t="s">
        <v>39</v>
      </c>
      <c r="D380" t="s">
        <v>292</v>
      </c>
      <c r="E380" s="6">
        <f t="shared" ca="1" si="16"/>
        <v>66.077820512656615</v>
      </c>
      <c r="I380" t="s">
        <v>97</v>
      </c>
      <c r="J380">
        <f>J362+1</f>
        <v>24</v>
      </c>
      <c r="K380" s="6">
        <f ca="1">INDIRECT(CONCATENATE("'P Fertilizer Rate'!",I380,J380))</f>
        <v>66.077820512656615</v>
      </c>
    </row>
    <row r="381" spans="1:11" ht="15" customHeight="1" x14ac:dyDescent="0.25">
      <c r="K381" s="6" t="e">
        <f t="shared" ca="1" si="17"/>
        <v>#REF!</v>
      </c>
    </row>
    <row r="382" spans="1:11" ht="15" customHeight="1" x14ac:dyDescent="0.25">
      <c r="A382">
        <v>2017</v>
      </c>
      <c r="B382">
        <v>10</v>
      </c>
      <c r="C382" t="s">
        <v>39</v>
      </c>
      <c r="D382" t="s">
        <v>293</v>
      </c>
      <c r="E382" s="6">
        <f t="shared" ca="1" si="16"/>
        <v>66.077820512656615</v>
      </c>
      <c r="I382" t="s">
        <v>97</v>
      </c>
      <c r="J382">
        <f>J364+1</f>
        <v>24</v>
      </c>
      <c r="K382" s="6">
        <f t="shared" ca="1" si="17"/>
        <v>66.077820512656615</v>
      </c>
    </row>
    <row r="383" spans="1:11" ht="15" customHeight="1" x14ac:dyDescent="0.25">
      <c r="K383" s="6" t="e">
        <f t="shared" ca="1" si="17"/>
        <v>#REF!</v>
      </c>
    </row>
    <row r="384" spans="1:11" ht="15" customHeight="1" x14ac:dyDescent="0.25">
      <c r="A384">
        <v>2017</v>
      </c>
      <c r="B384">
        <v>10</v>
      </c>
      <c r="C384" t="s">
        <v>39</v>
      </c>
      <c r="D384" t="s">
        <v>294</v>
      </c>
      <c r="E384" s="6">
        <f t="shared" ca="1" si="16"/>
        <v>66.077820512656615</v>
      </c>
      <c r="I384" t="s">
        <v>97</v>
      </c>
      <c r="J384">
        <f>J366+1</f>
        <v>24</v>
      </c>
      <c r="K384" s="6">
        <f t="shared" ca="1" si="17"/>
        <v>66.077820512656615</v>
      </c>
    </row>
    <row r="385" spans="1:11" ht="15" customHeight="1" x14ac:dyDescent="0.25">
      <c r="K385" s="6" t="e">
        <f t="shared" ca="1" si="17"/>
        <v>#REF!</v>
      </c>
    </row>
    <row r="386" spans="1:11" ht="15" customHeight="1" x14ac:dyDescent="0.25">
      <c r="A386">
        <v>2017</v>
      </c>
      <c r="B386">
        <v>10</v>
      </c>
      <c r="C386" t="s">
        <v>39</v>
      </c>
      <c r="D386" t="s">
        <v>74</v>
      </c>
      <c r="E386" s="6">
        <f t="shared" ca="1" si="16"/>
        <v>52.862256410125298</v>
      </c>
      <c r="I386" t="s">
        <v>98</v>
      </c>
      <c r="J386">
        <f>J368+1</f>
        <v>24</v>
      </c>
      <c r="K386" s="6">
        <f t="shared" ca="1" si="17"/>
        <v>52.862256410125298</v>
      </c>
    </row>
    <row r="387" spans="1:11" ht="15" customHeight="1" x14ac:dyDescent="0.25">
      <c r="K387" s="6" t="e">
        <f t="shared" ca="1" si="17"/>
        <v>#REF!</v>
      </c>
    </row>
    <row r="388" spans="1:11" ht="15" customHeight="1" x14ac:dyDescent="0.25">
      <c r="A388">
        <v>2017</v>
      </c>
      <c r="B388">
        <v>10</v>
      </c>
      <c r="C388" t="s">
        <v>39</v>
      </c>
      <c r="D388" t="s">
        <v>75</v>
      </c>
      <c r="E388" s="6">
        <f t="shared" ca="1" si="16"/>
        <v>52.862256410125298</v>
      </c>
      <c r="I388" t="s">
        <v>98</v>
      </c>
      <c r="J388">
        <f>J370+1</f>
        <v>24</v>
      </c>
      <c r="K388" s="6">
        <f t="shared" ca="1" si="17"/>
        <v>52.862256410125298</v>
      </c>
    </row>
    <row r="389" spans="1:11" ht="15" customHeight="1" x14ac:dyDescent="0.25">
      <c r="K389" s="6" t="e">
        <f t="shared" ca="1" si="17"/>
        <v>#REF!</v>
      </c>
    </row>
    <row r="390" spans="1:11" ht="15" customHeight="1" x14ac:dyDescent="0.25">
      <c r="A390">
        <v>2017</v>
      </c>
      <c r="B390">
        <v>10</v>
      </c>
      <c r="C390" t="s">
        <v>39</v>
      </c>
      <c r="D390" t="s">
        <v>76</v>
      </c>
      <c r="E390" s="6">
        <f t="shared" ca="1" si="16"/>
        <v>52.862256410125298</v>
      </c>
      <c r="I390" t="s">
        <v>98</v>
      </c>
      <c r="J390">
        <f>J372+1</f>
        <v>24</v>
      </c>
      <c r="K390" s="6">
        <f t="shared" ca="1" si="17"/>
        <v>52.862256410125298</v>
      </c>
    </row>
    <row r="391" spans="1:11" ht="15" customHeight="1" x14ac:dyDescent="0.25">
      <c r="K391" s="6" t="e">
        <f t="shared" ca="1" si="17"/>
        <v>#REF!</v>
      </c>
    </row>
    <row r="392" spans="1:11" ht="15" customHeight="1" x14ac:dyDescent="0.25">
      <c r="A392">
        <v>2017</v>
      </c>
      <c r="B392">
        <v>10</v>
      </c>
      <c r="C392" t="s">
        <v>39</v>
      </c>
      <c r="D392" t="s">
        <v>77</v>
      </c>
      <c r="E392" s="6">
        <f t="shared" ca="1" si="16"/>
        <v>20</v>
      </c>
      <c r="I392" t="s">
        <v>99</v>
      </c>
      <c r="J392">
        <f>J374+1</f>
        <v>24</v>
      </c>
      <c r="K392" s="6">
        <f t="shared" ca="1" si="17"/>
        <v>20</v>
      </c>
    </row>
    <row r="393" spans="1:11" ht="15" customHeight="1" x14ac:dyDescent="0.25">
      <c r="K393" s="6" t="e">
        <f t="shared" ca="1" si="17"/>
        <v>#REF!</v>
      </c>
    </row>
    <row r="394" spans="1:11" ht="15" customHeight="1" x14ac:dyDescent="0.25">
      <c r="A394">
        <v>2017</v>
      </c>
      <c r="B394">
        <v>10</v>
      </c>
      <c r="C394" t="s">
        <v>39</v>
      </c>
      <c r="D394" t="s">
        <v>78</v>
      </c>
      <c r="E394" s="6">
        <f t="shared" ca="1" si="16"/>
        <v>20</v>
      </c>
      <c r="I394" t="s">
        <v>99</v>
      </c>
      <c r="J394">
        <f>J376+1</f>
        <v>24</v>
      </c>
      <c r="K394" s="6">
        <f t="shared" ca="1" si="17"/>
        <v>20</v>
      </c>
    </row>
    <row r="395" spans="1:11" ht="15" customHeight="1" x14ac:dyDescent="0.25">
      <c r="K395" s="6" t="e">
        <f t="shared" ca="1" si="17"/>
        <v>#REF!</v>
      </c>
    </row>
    <row r="396" spans="1:11" ht="15" customHeight="1" x14ac:dyDescent="0.25">
      <c r="A396">
        <v>2017</v>
      </c>
      <c r="B396">
        <v>10</v>
      </c>
      <c r="C396" t="s">
        <v>39</v>
      </c>
      <c r="D396" t="s">
        <v>79</v>
      </c>
      <c r="E396" s="6">
        <f t="shared" ca="1" si="16"/>
        <v>20</v>
      </c>
      <c r="I396" t="s">
        <v>99</v>
      </c>
      <c r="J396">
        <f>J378+1</f>
        <v>24</v>
      </c>
      <c r="K396" s="6">
        <f t="shared" ca="1" si="17"/>
        <v>20</v>
      </c>
    </row>
    <row r="398" spans="1:11" ht="15" customHeight="1" x14ac:dyDescent="0.25">
      <c r="A398">
        <v>2017</v>
      </c>
      <c r="B398">
        <v>25</v>
      </c>
      <c r="C398" t="s">
        <v>40</v>
      </c>
      <c r="D398" t="s">
        <v>292</v>
      </c>
      <c r="E398" s="6">
        <f t="shared" ca="1" si="16"/>
        <v>81.129118977449139</v>
      </c>
      <c r="I398" t="s">
        <v>97</v>
      </c>
      <c r="J398">
        <f>J380+1</f>
        <v>25</v>
      </c>
      <c r="K398" s="6">
        <f t="shared" ref="K398:K450" ca="1" si="18">INDIRECT(CONCATENATE("'P Fertilizer Rate'!",I398,J398))</f>
        <v>81.129118977449139</v>
      </c>
    </row>
    <row r="399" spans="1:11" ht="15" customHeight="1" x14ac:dyDescent="0.25">
      <c r="K399" s="6" t="e">
        <f t="shared" ca="1" si="18"/>
        <v>#REF!</v>
      </c>
    </row>
    <row r="400" spans="1:11" ht="15" customHeight="1" x14ac:dyDescent="0.25">
      <c r="A400">
        <v>2017</v>
      </c>
      <c r="B400">
        <v>25</v>
      </c>
      <c r="C400" t="s">
        <v>40</v>
      </c>
      <c r="D400" t="s">
        <v>293</v>
      </c>
      <c r="E400" s="6">
        <f t="shared" ca="1" si="16"/>
        <v>81.129118977449139</v>
      </c>
      <c r="I400" t="s">
        <v>97</v>
      </c>
      <c r="J400">
        <f>J382+1</f>
        <v>25</v>
      </c>
      <c r="K400" s="6">
        <f t="shared" ca="1" si="18"/>
        <v>81.129118977449139</v>
      </c>
    </row>
    <row r="401" spans="1:11" ht="15" customHeight="1" x14ac:dyDescent="0.25">
      <c r="K401" s="6" t="e">
        <f t="shared" ca="1" si="18"/>
        <v>#REF!</v>
      </c>
    </row>
    <row r="402" spans="1:11" ht="15" customHeight="1" x14ac:dyDescent="0.25">
      <c r="A402">
        <v>2017</v>
      </c>
      <c r="B402">
        <v>25</v>
      </c>
      <c r="C402" t="s">
        <v>40</v>
      </c>
      <c r="D402" t="s">
        <v>294</v>
      </c>
      <c r="E402" s="6">
        <f t="shared" ref="E402:E464" ca="1" si="19">K402</f>
        <v>81.129118977449139</v>
      </c>
      <c r="I402" t="s">
        <v>97</v>
      </c>
      <c r="J402">
        <f>J384+1</f>
        <v>25</v>
      </c>
      <c r="K402" s="6">
        <f t="shared" ca="1" si="18"/>
        <v>81.129118977449139</v>
      </c>
    </row>
    <row r="403" spans="1:11" ht="15" customHeight="1" x14ac:dyDescent="0.25">
      <c r="K403" s="6" t="e">
        <f t="shared" ca="1" si="18"/>
        <v>#REF!</v>
      </c>
    </row>
    <row r="404" spans="1:11" ht="15" customHeight="1" x14ac:dyDescent="0.25">
      <c r="A404">
        <v>2017</v>
      </c>
      <c r="B404">
        <v>25</v>
      </c>
      <c r="C404" t="s">
        <v>40</v>
      </c>
      <c r="D404" t="s">
        <v>74</v>
      </c>
      <c r="E404" s="6">
        <f t="shared" ca="1" si="19"/>
        <v>64.903295181959308</v>
      </c>
      <c r="I404" t="s">
        <v>98</v>
      </c>
      <c r="J404">
        <f>J386+1</f>
        <v>25</v>
      </c>
      <c r="K404" s="6">
        <f t="shared" ca="1" si="18"/>
        <v>64.903295181959308</v>
      </c>
    </row>
    <row r="405" spans="1:11" ht="15" customHeight="1" x14ac:dyDescent="0.25">
      <c r="K405" s="6" t="e">
        <f t="shared" ca="1" si="18"/>
        <v>#REF!</v>
      </c>
    </row>
    <row r="406" spans="1:11" ht="15" customHeight="1" x14ac:dyDescent="0.25">
      <c r="A406">
        <v>2017</v>
      </c>
      <c r="B406">
        <v>25</v>
      </c>
      <c r="C406" t="s">
        <v>40</v>
      </c>
      <c r="D406" t="s">
        <v>75</v>
      </c>
      <c r="E406" s="6">
        <f t="shared" ca="1" si="19"/>
        <v>64.903295181959308</v>
      </c>
      <c r="I406" t="s">
        <v>98</v>
      </c>
      <c r="J406">
        <f>J388+1</f>
        <v>25</v>
      </c>
      <c r="K406" s="6">
        <f t="shared" ca="1" si="18"/>
        <v>64.903295181959308</v>
      </c>
    </row>
    <row r="407" spans="1:11" ht="15" customHeight="1" x14ac:dyDescent="0.25">
      <c r="K407" s="6" t="e">
        <f t="shared" ca="1" si="18"/>
        <v>#REF!</v>
      </c>
    </row>
    <row r="408" spans="1:11" ht="15" customHeight="1" x14ac:dyDescent="0.25">
      <c r="A408">
        <v>2017</v>
      </c>
      <c r="B408">
        <v>25</v>
      </c>
      <c r="C408" t="s">
        <v>40</v>
      </c>
      <c r="D408" t="s">
        <v>76</v>
      </c>
      <c r="E408" s="6">
        <f t="shared" ca="1" si="19"/>
        <v>64.903295181959308</v>
      </c>
      <c r="I408" t="s">
        <v>98</v>
      </c>
      <c r="J408">
        <f>J390+1</f>
        <v>25</v>
      </c>
      <c r="K408" s="6">
        <f t="shared" ca="1" si="18"/>
        <v>64.903295181959308</v>
      </c>
    </row>
    <row r="409" spans="1:11" ht="15" customHeight="1" x14ac:dyDescent="0.25">
      <c r="K409" s="6" t="e">
        <f t="shared" ca="1" si="18"/>
        <v>#REF!</v>
      </c>
    </row>
    <row r="410" spans="1:11" ht="15" customHeight="1" x14ac:dyDescent="0.25">
      <c r="A410">
        <v>2017</v>
      </c>
      <c r="B410">
        <v>25</v>
      </c>
      <c r="C410" t="s">
        <v>40</v>
      </c>
      <c r="D410" t="s">
        <v>77</v>
      </c>
      <c r="E410" s="6">
        <f t="shared" ca="1" si="19"/>
        <v>20</v>
      </c>
      <c r="I410" t="s">
        <v>99</v>
      </c>
      <c r="J410">
        <f>J392+1</f>
        <v>25</v>
      </c>
      <c r="K410" s="6">
        <f t="shared" ca="1" si="18"/>
        <v>20</v>
      </c>
    </row>
    <row r="411" spans="1:11" ht="15" customHeight="1" x14ac:dyDescent="0.25">
      <c r="K411" s="6" t="e">
        <f t="shared" ca="1" si="18"/>
        <v>#REF!</v>
      </c>
    </row>
    <row r="412" spans="1:11" ht="15" customHeight="1" x14ac:dyDescent="0.25">
      <c r="A412">
        <v>2017</v>
      </c>
      <c r="B412">
        <v>25</v>
      </c>
      <c r="C412" t="s">
        <v>40</v>
      </c>
      <c r="D412" t="s">
        <v>78</v>
      </c>
      <c r="E412" s="6">
        <f t="shared" ca="1" si="19"/>
        <v>20</v>
      </c>
      <c r="I412" t="s">
        <v>99</v>
      </c>
      <c r="J412">
        <f>J394+1</f>
        <v>25</v>
      </c>
      <c r="K412" s="6">
        <f t="shared" ca="1" si="18"/>
        <v>20</v>
      </c>
    </row>
    <row r="413" spans="1:11" ht="15" customHeight="1" x14ac:dyDescent="0.25">
      <c r="K413" s="6" t="e">
        <f t="shared" ca="1" si="18"/>
        <v>#REF!</v>
      </c>
    </row>
    <row r="414" spans="1:11" ht="15" customHeight="1" x14ac:dyDescent="0.25">
      <c r="A414">
        <v>2017</v>
      </c>
      <c r="B414">
        <v>25</v>
      </c>
      <c r="C414" t="s">
        <v>40</v>
      </c>
      <c r="D414" t="s">
        <v>79</v>
      </c>
      <c r="E414" s="6">
        <f t="shared" ca="1" si="19"/>
        <v>20</v>
      </c>
      <c r="I414" t="s">
        <v>99</v>
      </c>
      <c r="J414">
        <f>J396+1</f>
        <v>25</v>
      </c>
      <c r="K414" s="6">
        <f t="shared" ca="1" si="18"/>
        <v>20</v>
      </c>
    </row>
    <row r="416" spans="1:11" ht="15" customHeight="1" x14ac:dyDescent="0.25">
      <c r="A416">
        <v>2017</v>
      </c>
      <c r="B416">
        <v>34</v>
      </c>
      <c r="C416" t="s">
        <v>41</v>
      </c>
      <c r="D416" t="s">
        <v>292</v>
      </c>
      <c r="E416" s="6">
        <f t="shared" ca="1" si="19"/>
        <v>100.53815397832226</v>
      </c>
      <c r="I416" t="s">
        <v>97</v>
      </c>
      <c r="J416">
        <f>J398+1</f>
        <v>26</v>
      </c>
      <c r="K416" s="6">
        <f t="shared" ref="K416:K468" ca="1" si="20">INDIRECT(CONCATENATE("'P Fertilizer Rate'!",I416,J416))</f>
        <v>100.53815397832226</v>
      </c>
    </row>
    <row r="417" spans="1:11" ht="15" customHeight="1" x14ac:dyDescent="0.25">
      <c r="K417" s="6" t="e">
        <f t="shared" ca="1" si="20"/>
        <v>#REF!</v>
      </c>
    </row>
    <row r="418" spans="1:11" ht="15" customHeight="1" x14ac:dyDescent="0.25">
      <c r="A418">
        <v>2017</v>
      </c>
      <c r="B418">
        <v>34</v>
      </c>
      <c r="C418" t="s">
        <v>41</v>
      </c>
      <c r="D418" t="s">
        <v>293</v>
      </c>
      <c r="E418" s="6">
        <f t="shared" ca="1" si="19"/>
        <v>100.53815397832226</v>
      </c>
      <c r="I418" t="s">
        <v>97</v>
      </c>
      <c r="J418">
        <f>J400+1</f>
        <v>26</v>
      </c>
      <c r="K418" s="6">
        <f t="shared" ca="1" si="20"/>
        <v>100.53815397832226</v>
      </c>
    </row>
    <row r="419" spans="1:11" ht="15" customHeight="1" x14ac:dyDescent="0.25">
      <c r="K419" s="6" t="e">
        <f t="shared" ca="1" si="20"/>
        <v>#REF!</v>
      </c>
    </row>
    <row r="420" spans="1:11" ht="15" customHeight="1" x14ac:dyDescent="0.25">
      <c r="A420">
        <v>2017</v>
      </c>
      <c r="B420">
        <v>34</v>
      </c>
      <c r="C420" t="s">
        <v>41</v>
      </c>
      <c r="D420" t="s">
        <v>294</v>
      </c>
      <c r="E420" s="6">
        <f t="shared" ca="1" si="19"/>
        <v>100.53815397832226</v>
      </c>
      <c r="I420" t="s">
        <v>97</v>
      </c>
      <c r="J420">
        <f>J402+1</f>
        <v>26</v>
      </c>
      <c r="K420" s="6">
        <f t="shared" ca="1" si="20"/>
        <v>100.53815397832226</v>
      </c>
    </row>
    <row r="421" spans="1:11" ht="15" customHeight="1" x14ac:dyDescent="0.25">
      <c r="K421" s="6" t="e">
        <f t="shared" ca="1" si="20"/>
        <v>#REF!</v>
      </c>
    </row>
    <row r="422" spans="1:11" ht="15" customHeight="1" x14ac:dyDescent="0.25">
      <c r="A422">
        <v>2017</v>
      </c>
      <c r="B422">
        <v>34</v>
      </c>
      <c r="C422" t="s">
        <v>41</v>
      </c>
      <c r="D422" t="s">
        <v>74</v>
      </c>
      <c r="E422" s="6">
        <f t="shared" ca="1" si="19"/>
        <v>80.430523182657808</v>
      </c>
      <c r="I422" t="s">
        <v>98</v>
      </c>
      <c r="J422">
        <f>J404+1</f>
        <v>26</v>
      </c>
      <c r="K422" s="6">
        <f t="shared" ca="1" si="20"/>
        <v>80.430523182657808</v>
      </c>
    </row>
    <row r="423" spans="1:11" ht="15" customHeight="1" x14ac:dyDescent="0.25">
      <c r="K423" s="6" t="e">
        <f t="shared" ca="1" si="20"/>
        <v>#REF!</v>
      </c>
    </row>
    <row r="424" spans="1:11" ht="15" customHeight="1" x14ac:dyDescent="0.25">
      <c r="A424">
        <v>2017</v>
      </c>
      <c r="B424">
        <v>34</v>
      </c>
      <c r="C424" t="s">
        <v>41</v>
      </c>
      <c r="D424" t="s">
        <v>75</v>
      </c>
      <c r="E424" s="6">
        <f t="shared" ca="1" si="19"/>
        <v>80.430523182657808</v>
      </c>
      <c r="I424" t="s">
        <v>98</v>
      </c>
      <c r="J424">
        <f>J406+1</f>
        <v>26</v>
      </c>
      <c r="K424" s="6">
        <f t="shared" ca="1" si="20"/>
        <v>80.430523182657808</v>
      </c>
    </row>
    <row r="425" spans="1:11" ht="15" customHeight="1" x14ac:dyDescent="0.25">
      <c r="K425" s="6" t="e">
        <f t="shared" ca="1" si="20"/>
        <v>#REF!</v>
      </c>
    </row>
    <row r="426" spans="1:11" ht="15" customHeight="1" x14ac:dyDescent="0.25">
      <c r="A426">
        <v>2017</v>
      </c>
      <c r="B426">
        <v>34</v>
      </c>
      <c r="C426" t="s">
        <v>41</v>
      </c>
      <c r="D426" t="s">
        <v>76</v>
      </c>
      <c r="E426" s="6">
        <f t="shared" ca="1" si="19"/>
        <v>80.430523182657808</v>
      </c>
      <c r="I426" t="s">
        <v>98</v>
      </c>
      <c r="J426">
        <f>J408+1</f>
        <v>26</v>
      </c>
      <c r="K426" s="6">
        <f t="shared" ca="1" si="20"/>
        <v>80.430523182657808</v>
      </c>
    </row>
    <row r="427" spans="1:11" ht="15" customHeight="1" x14ac:dyDescent="0.25">
      <c r="K427" s="6" t="e">
        <f t="shared" ca="1" si="20"/>
        <v>#REF!</v>
      </c>
    </row>
    <row r="428" spans="1:11" ht="15" customHeight="1" x14ac:dyDescent="0.25">
      <c r="A428">
        <v>2017</v>
      </c>
      <c r="B428">
        <v>34</v>
      </c>
      <c r="C428" t="s">
        <v>41</v>
      </c>
      <c r="D428" t="s">
        <v>77</v>
      </c>
      <c r="E428" s="6">
        <f t="shared" ca="1" si="19"/>
        <v>20</v>
      </c>
      <c r="I428" t="s">
        <v>99</v>
      </c>
      <c r="J428">
        <f>J410+1</f>
        <v>26</v>
      </c>
      <c r="K428" s="6">
        <f t="shared" ca="1" si="20"/>
        <v>20</v>
      </c>
    </row>
    <row r="429" spans="1:11" ht="15" customHeight="1" x14ac:dyDescent="0.25">
      <c r="K429" s="6" t="e">
        <f t="shared" ca="1" si="20"/>
        <v>#REF!</v>
      </c>
    </row>
    <row r="430" spans="1:11" ht="15" customHeight="1" x14ac:dyDescent="0.25">
      <c r="A430">
        <v>2017</v>
      </c>
      <c r="B430">
        <v>34</v>
      </c>
      <c r="C430" t="s">
        <v>41</v>
      </c>
      <c r="D430" t="s">
        <v>78</v>
      </c>
      <c r="E430" s="6">
        <f t="shared" ca="1" si="19"/>
        <v>20</v>
      </c>
      <c r="I430" t="s">
        <v>99</v>
      </c>
      <c r="J430">
        <f>J412+1</f>
        <v>26</v>
      </c>
      <c r="K430" s="6">
        <f t="shared" ca="1" si="20"/>
        <v>20</v>
      </c>
    </row>
    <row r="431" spans="1:11" ht="15" customHeight="1" x14ac:dyDescent="0.25">
      <c r="K431" s="6" t="e">
        <f t="shared" ca="1" si="20"/>
        <v>#REF!</v>
      </c>
    </row>
    <row r="432" spans="1:11" ht="15" customHeight="1" x14ac:dyDescent="0.25">
      <c r="A432">
        <v>2017</v>
      </c>
      <c r="B432">
        <v>34</v>
      </c>
      <c r="C432" t="s">
        <v>41</v>
      </c>
      <c r="D432" t="s">
        <v>79</v>
      </c>
      <c r="E432" s="6">
        <f t="shared" ca="1" si="19"/>
        <v>20</v>
      </c>
      <c r="I432" t="s">
        <v>99</v>
      </c>
      <c r="J432">
        <f>J414+1</f>
        <v>26</v>
      </c>
      <c r="K432" s="6">
        <f t="shared" ca="1" si="20"/>
        <v>20</v>
      </c>
    </row>
    <row r="434" spans="1:11" ht="15" customHeight="1" x14ac:dyDescent="0.25">
      <c r="A434">
        <v>2017</v>
      </c>
      <c r="B434">
        <v>87</v>
      </c>
      <c r="C434" t="s">
        <v>42</v>
      </c>
      <c r="D434" t="s">
        <v>292</v>
      </c>
      <c r="E434" s="6">
        <f t="shared" ca="1" si="19"/>
        <v>81.356081170293564</v>
      </c>
      <c r="I434" t="s">
        <v>97</v>
      </c>
      <c r="J434">
        <f>J416+1</f>
        <v>27</v>
      </c>
      <c r="K434" s="6">
        <f ca="1">INDIRECT(CONCATENATE("'P Fertilizer Rate'!",I434,J434))</f>
        <v>81.356081170293564</v>
      </c>
    </row>
    <row r="435" spans="1:11" ht="15" customHeight="1" x14ac:dyDescent="0.25">
      <c r="K435" s="6" t="e">
        <f t="shared" ca="1" si="18"/>
        <v>#REF!</v>
      </c>
    </row>
    <row r="436" spans="1:11" ht="15" customHeight="1" x14ac:dyDescent="0.25">
      <c r="A436">
        <v>2017</v>
      </c>
      <c r="B436">
        <v>87</v>
      </c>
      <c r="C436" t="s">
        <v>42</v>
      </c>
      <c r="D436" t="s">
        <v>293</v>
      </c>
      <c r="E436" s="6">
        <f t="shared" ca="1" si="19"/>
        <v>81.356081170293564</v>
      </c>
      <c r="I436" t="s">
        <v>97</v>
      </c>
      <c r="J436">
        <f>J418+1</f>
        <v>27</v>
      </c>
      <c r="K436" s="6">
        <f t="shared" ca="1" si="18"/>
        <v>81.356081170293564</v>
      </c>
    </row>
    <row r="437" spans="1:11" ht="15" customHeight="1" x14ac:dyDescent="0.25">
      <c r="K437" s="6" t="e">
        <f t="shared" ca="1" si="18"/>
        <v>#REF!</v>
      </c>
    </row>
    <row r="438" spans="1:11" ht="15" customHeight="1" x14ac:dyDescent="0.25">
      <c r="A438">
        <v>2017</v>
      </c>
      <c r="B438">
        <v>87</v>
      </c>
      <c r="C438" t="s">
        <v>42</v>
      </c>
      <c r="D438" t="s">
        <v>294</v>
      </c>
      <c r="E438" s="6">
        <f t="shared" ca="1" si="19"/>
        <v>81.356081170293564</v>
      </c>
      <c r="I438" t="s">
        <v>97</v>
      </c>
      <c r="J438">
        <f>J420+1</f>
        <v>27</v>
      </c>
      <c r="K438" s="6">
        <f t="shared" ca="1" si="18"/>
        <v>81.356081170293564</v>
      </c>
    </row>
    <row r="439" spans="1:11" ht="15" customHeight="1" x14ac:dyDescent="0.25">
      <c r="K439" s="6" t="e">
        <f t="shared" ca="1" si="18"/>
        <v>#REF!</v>
      </c>
    </row>
    <row r="440" spans="1:11" ht="15" customHeight="1" x14ac:dyDescent="0.25">
      <c r="A440">
        <v>2017</v>
      </c>
      <c r="B440">
        <v>87</v>
      </c>
      <c r="C440" t="s">
        <v>42</v>
      </c>
      <c r="D440" t="s">
        <v>74</v>
      </c>
      <c r="E440" s="6">
        <f t="shared" ca="1" si="19"/>
        <v>65.084864936234851</v>
      </c>
      <c r="I440" t="s">
        <v>98</v>
      </c>
      <c r="J440">
        <f>J422+1</f>
        <v>27</v>
      </c>
      <c r="K440" s="6">
        <f t="shared" ca="1" si="18"/>
        <v>65.084864936234851</v>
      </c>
    </row>
    <row r="441" spans="1:11" ht="15" customHeight="1" x14ac:dyDescent="0.25">
      <c r="K441" s="6" t="e">
        <f t="shared" ca="1" si="18"/>
        <v>#REF!</v>
      </c>
    </row>
    <row r="442" spans="1:11" ht="15" customHeight="1" x14ac:dyDescent="0.25">
      <c r="A442">
        <v>2017</v>
      </c>
      <c r="B442">
        <v>87</v>
      </c>
      <c r="C442" t="s">
        <v>42</v>
      </c>
      <c r="D442" t="s">
        <v>75</v>
      </c>
      <c r="E442" s="6">
        <f t="shared" ca="1" si="19"/>
        <v>65.084864936234851</v>
      </c>
      <c r="I442" t="s">
        <v>98</v>
      </c>
      <c r="J442">
        <f>J424+1</f>
        <v>27</v>
      </c>
      <c r="K442" s="6">
        <f t="shared" ca="1" si="18"/>
        <v>65.084864936234851</v>
      </c>
    </row>
    <row r="443" spans="1:11" ht="15" customHeight="1" x14ac:dyDescent="0.25">
      <c r="K443" s="6" t="e">
        <f t="shared" ca="1" si="18"/>
        <v>#REF!</v>
      </c>
    </row>
    <row r="444" spans="1:11" ht="15" customHeight="1" x14ac:dyDescent="0.25">
      <c r="A444">
        <v>2017</v>
      </c>
      <c r="B444">
        <v>87</v>
      </c>
      <c r="C444" t="s">
        <v>42</v>
      </c>
      <c r="D444" t="s">
        <v>76</v>
      </c>
      <c r="E444" s="6">
        <f t="shared" ca="1" si="19"/>
        <v>65.084864936234851</v>
      </c>
      <c r="I444" t="s">
        <v>98</v>
      </c>
      <c r="J444">
        <f>J426+1</f>
        <v>27</v>
      </c>
      <c r="K444" s="6">
        <f t="shared" ca="1" si="18"/>
        <v>65.084864936234851</v>
      </c>
    </row>
    <row r="445" spans="1:11" ht="15" customHeight="1" x14ac:dyDescent="0.25">
      <c r="K445" s="6" t="e">
        <f t="shared" ca="1" si="18"/>
        <v>#REF!</v>
      </c>
    </row>
    <row r="446" spans="1:11" ht="15" customHeight="1" x14ac:dyDescent="0.25">
      <c r="A446">
        <v>2017</v>
      </c>
      <c r="B446">
        <v>87</v>
      </c>
      <c r="C446" t="s">
        <v>42</v>
      </c>
      <c r="D446" t="s">
        <v>77</v>
      </c>
      <c r="E446" s="6">
        <f t="shared" ca="1" si="19"/>
        <v>20</v>
      </c>
      <c r="I446" t="s">
        <v>99</v>
      </c>
      <c r="J446">
        <f>J428+1</f>
        <v>27</v>
      </c>
      <c r="K446" s="6">
        <f t="shared" ca="1" si="18"/>
        <v>20</v>
      </c>
    </row>
    <row r="447" spans="1:11" ht="15" customHeight="1" x14ac:dyDescent="0.25">
      <c r="K447" s="6" t="e">
        <f t="shared" ca="1" si="18"/>
        <v>#REF!</v>
      </c>
    </row>
    <row r="448" spans="1:11" ht="15" customHeight="1" x14ac:dyDescent="0.25">
      <c r="A448">
        <v>2017</v>
      </c>
      <c r="B448">
        <v>87</v>
      </c>
      <c r="C448" t="s">
        <v>42</v>
      </c>
      <c r="D448" t="s">
        <v>78</v>
      </c>
      <c r="E448" s="6">
        <f t="shared" ca="1" si="19"/>
        <v>20</v>
      </c>
      <c r="I448" t="s">
        <v>99</v>
      </c>
      <c r="J448">
        <f>J430+1</f>
        <v>27</v>
      </c>
      <c r="K448" s="6">
        <f t="shared" ca="1" si="18"/>
        <v>20</v>
      </c>
    </row>
    <row r="449" spans="1:11" ht="15" customHeight="1" x14ac:dyDescent="0.25">
      <c r="K449" s="6" t="e">
        <f t="shared" ca="1" si="18"/>
        <v>#REF!</v>
      </c>
    </row>
    <row r="450" spans="1:11" ht="15" customHeight="1" x14ac:dyDescent="0.25">
      <c r="A450">
        <v>2017</v>
      </c>
      <c r="B450">
        <v>87</v>
      </c>
      <c r="C450" t="s">
        <v>42</v>
      </c>
      <c r="D450" t="s">
        <v>79</v>
      </c>
      <c r="E450" s="6">
        <f t="shared" ca="1" si="19"/>
        <v>20</v>
      </c>
      <c r="I450" t="s">
        <v>99</v>
      </c>
      <c r="J450">
        <f>J432+1</f>
        <v>27</v>
      </c>
      <c r="K450" s="6">
        <f t="shared" ca="1" si="18"/>
        <v>20</v>
      </c>
    </row>
    <row r="452" spans="1:11" ht="15" customHeight="1" x14ac:dyDescent="0.25">
      <c r="A452">
        <v>2017</v>
      </c>
      <c r="B452">
        <v>44</v>
      </c>
      <c r="C452" t="s">
        <v>93</v>
      </c>
      <c r="D452" t="s">
        <v>292</v>
      </c>
      <c r="E452" s="6">
        <f t="shared" ca="1" si="19"/>
        <v>104.07273105182725</v>
      </c>
      <c r="I452" t="s">
        <v>97</v>
      </c>
      <c r="J452">
        <f>J434+1</f>
        <v>28</v>
      </c>
      <c r="K452" s="6">
        <f ca="1">INDIRECT(CONCATENATE("'P Fertilizer Rate'!",I452,J452))</f>
        <v>104.07273105182725</v>
      </c>
    </row>
    <row r="453" spans="1:11" ht="15" customHeight="1" x14ac:dyDescent="0.25">
      <c r="K453" s="6" t="e">
        <f t="shared" ca="1" si="20"/>
        <v>#REF!</v>
      </c>
    </row>
    <row r="454" spans="1:11" ht="15" customHeight="1" x14ac:dyDescent="0.25">
      <c r="A454">
        <v>2017</v>
      </c>
      <c r="B454">
        <v>44</v>
      </c>
      <c r="C454" t="s">
        <v>93</v>
      </c>
      <c r="D454" t="s">
        <v>293</v>
      </c>
      <c r="E454" s="6">
        <f t="shared" ca="1" si="19"/>
        <v>104.07273105182725</v>
      </c>
      <c r="I454" t="s">
        <v>97</v>
      </c>
      <c r="J454">
        <f>J436+1</f>
        <v>28</v>
      </c>
      <c r="K454" s="6">
        <f t="shared" ca="1" si="20"/>
        <v>104.07273105182725</v>
      </c>
    </row>
    <row r="455" spans="1:11" ht="15" customHeight="1" x14ac:dyDescent="0.25">
      <c r="K455" s="6" t="e">
        <f t="shared" ca="1" si="20"/>
        <v>#REF!</v>
      </c>
    </row>
    <row r="456" spans="1:11" ht="15" customHeight="1" x14ac:dyDescent="0.25">
      <c r="A456">
        <v>2017</v>
      </c>
      <c r="B456">
        <v>44</v>
      </c>
      <c r="C456" t="s">
        <v>93</v>
      </c>
      <c r="D456" t="s">
        <v>294</v>
      </c>
      <c r="E456" s="6">
        <f t="shared" ca="1" si="19"/>
        <v>104.07273105182725</v>
      </c>
      <c r="I456" t="s">
        <v>97</v>
      </c>
      <c r="J456">
        <f>J438+1</f>
        <v>28</v>
      </c>
      <c r="K456" s="6">
        <f t="shared" ca="1" si="20"/>
        <v>104.07273105182725</v>
      </c>
    </row>
    <row r="457" spans="1:11" ht="15" customHeight="1" x14ac:dyDescent="0.25">
      <c r="K457" s="6" t="e">
        <f t="shared" ca="1" si="20"/>
        <v>#REF!</v>
      </c>
    </row>
    <row r="458" spans="1:11" ht="15" customHeight="1" x14ac:dyDescent="0.25">
      <c r="A458">
        <v>2017</v>
      </c>
      <c r="B458">
        <v>44</v>
      </c>
      <c r="C458" t="s">
        <v>93</v>
      </c>
      <c r="D458" t="s">
        <v>74</v>
      </c>
      <c r="E458" s="6">
        <f t="shared" ca="1" si="19"/>
        <v>83.258184841461798</v>
      </c>
      <c r="I458" t="s">
        <v>98</v>
      </c>
      <c r="J458">
        <f>J440+1</f>
        <v>28</v>
      </c>
      <c r="K458" s="6">
        <f t="shared" ca="1" si="20"/>
        <v>83.258184841461798</v>
      </c>
    </row>
    <row r="459" spans="1:11" ht="15" customHeight="1" x14ac:dyDescent="0.25">
      <c r="K459" s="6" t="e">
        <f t="shared" ca="1" si="20"/>
        <v>#REF!</v>
      </c>
    </row>
    <row r="460" spans="1:11" ht="15" customHeight="1" x14ac:dyDescent="0.25">
      <c r="A460">
        <v>2017</v>
      </c>
      <c r="B460">
        <v>44</v>
      </c>
      <c r="C460" t="s">
        <v>93</v>
      </c>
      <c r="D460" t="s">
        <v>75</v>
      </c>
      <c r="E460" s="6">
        <f t="shared" ca="1" si="19"/>
        <v>83.258184841461798</v>
      </c>
      <c r="I460" t="s">
        <v>98</v>
      </c>
      <c r="J460">
        <f>J442+1</f>
        <v>28</v>
      </c>
      <c r="K460" s="6">
        <f t="shared" ca="1" si="20"/>
        <v>83.258184841461798</v>
      </c>
    </row>
    <row r="461" spans="1:11" ht="15" customHeight="1" x14ac:dyDescent="0.25">
      <c r="K461" s="6" t="e">
        <f t="shared" ca="1" si="20"/>
        <v>#REF!</v>
      </c>
    </row>
    <row r="462" spans="1:11" ht="15" customHeight="1" x14ac:dyDescent="0.25">
      <c r="A462">
        <v>2017</v>
      </c>
      <c r="B462">
        <v>44</v>
      </c>
      <c r="C462" t="s">
        <v>93</v>
      </c>
      <c r="D462" t="s">
        <v>76</v>
      </c>
      <c r="E462" s="6">
        <f t="shared" ca="1" si="19"/>
        <v>83.258184841461798</v>
      </c>
      <c r="I462" t="s">
        <v>98</v>
      </c>
      <c r="J462">
        <f>J444+1</f>
        <v>28</v>
      </c>
      <c r="K462" s="6">
        <f t="shared" ca="1" si="20"/>
        <v>83.258184841461798</v>
      </c>
    </row>
    <row r="463" spans="1:11" ht="15" customHeight="1" x14ac:dyDescent="0.25">
      <c r="K463" s="6" t="e">
        <f t="shared" ca="1" si="20"/>
        <v>#REF!</v>
      </c>
    </row>
    <row r="464" spans="1:11" ht="15" customHeight="1" x14ac:dyDescent="0.25">
      <c r="A464">
        <v>2017</v>
      </c>
      <c r="B464">
        <v>44</v>
      </c>
      <c r="C464" t="s">
        <v>93</v>
      </c>
      <c r="D464" t="s">
        <v>77</v>
      </c>
      <c r="E464" s="6">
        <f t="shared" ca="1" si="19"/>
        <v>20</v>
      </c>
      <c r="I464" t="s">
        <v>99</v>
      </c>
      <c r="J464">
        <f>J446+1</f>
        <v>28</v>
      </c>
      <c r="K464" s="6">
        <f t="shared" ca="1" si="20"/>
        <v>20</v>
      </c>
    </row>
    <row r="465" spans="1:11" ht="15" customHeight="1" x14ac:dyDescent="0.25">
      <c r="K465" s="6" t="e">
        <f t="shared" ca="1" si="20"/>
        <v>#REF!</v>
      </c>
    </row>
    <row r="466" spans="1:11" ht="15" customHeight="1" x14ac:dyDescent="0.25">
      <c r="A466">
        <v>2017</v>
      </c>
      <c r="B466">
        <v>44</v>
      </c>
      <c r="C466" t="s">
        <v>93</v>
      </c>
      <c r="D466" t="s">
        <v>78</v>
      </c>
      <c r="E466" s="6">
        <f t="shared" ref="E466:E528" ca="1" si="21">K466</f>
        <v>20</v>
      </c>
      <c r="I466" t="s">
        <v>99</v>
      </c>
      <c r="J466">
        <f>J448+1</f>
        <v>28</v>
      </c>
      <c r="K466" s="6">
        <f t="shared" ca="1" si="20"/>
        <v>20</v>
      </c>
    </row>
    <row r="467" spans="1:11" ht="15" customHeight="1" x14ac:dyDescent="0.25">
      <c r="K467" s="6" t="e">
        <f t="shared" ca="1" si="20"/>
        <v>#REF!</v>
      </c>
    </row>
    <row r="468" spans="1:11" ht="15" customHeight="1" x14ac:dyDescent="0.25">
      <c r="A468">
        <v>2017</v>
      </c>
      <c r="B468">
        <v>44</v>
      </c>
      <c r="C468" t="s">
        <v>93</v>
      </c>
      <c r="D468" t="s">
        <v>79</v>
      </c>
      <c r="E468" s="6">
        <f t="shared" ca="1" si="21"/>
        <v>20</v>
      </c>
      <c r="I468" t="s">
        <v>99</v>
      </c>
      <c r="J468">
        <f>J450+1</f>
        <v>28</v>
      </c>
      <c r="K468" s="6">
        <f t="shared" ca="1" si="20"/>
        <v>20</v>
      </c>
    </row>
    <row r="470" spans="1:11" ht="15" customHeight="1" x14ac:dyDescent="0.25">
      <c r="A470">
        <v>2017</v>
      </c>
      <c r="B470">
        <v>20</v>
      </c>
      <c r="C470" t="s">
        <v>44</v>
      </c>
      <c r="D470" t="s">
        <v>292</v>
      </c>
      <c r="E470" s="6">
        <f t="shared" ca="1" si="21"/>
        <v>86.805731257015651</v>
      </c>
      <c r="I470" t="s">
        <v>97</v>
      </c>
      <c r="J470">
        <f>J452+1</f>
        <v>29</v>
      </c>
      <c r="K470" s="6">
        <f t="shared" ref="K470:K522" ca="1" si="22">INDIRECT(CONCATENATE("'P Fertilizer Rate'!",I470,J470))</f>
        <v>86.805731257015651</v>
      </c>
    </row>
    <row r="471" spans="1:11" ht="15" customHeight="1" x14ac:dyDescent="0.25">
      <c r="K471" s="6" t="e">
        <f t="shared" ca="1" si="22"/>
        <v>#REF!</v>
      </c>
    </row>
    <row r="472" spans="1:11" ht="15" customHeight="1" x14ac:dyDescent="0.25">
      <c r="A472">
        <v>2017</v>
      </c>
      <c r="B472">
        <v>20</v>
      </c>
      <c r="C472" t="s">
        <v>44</v>
      </c>
      <c r="D472" t="s">
        <v>293</v>
      </c>
      <c r="E472" s="6">
        <f t="shared" ca="1" si="21"/>
        <v>86.805731257015651</v>
      </c>
      <c r="I472" t="s">
        <v>97</v>
      </c>
      <c r="J472">
        <f>J454+1</f>
        <v>29</v>
      </c>
      <c r="K472" s="6">
        <f t="shared" ca="1" si="22"/>
        <v>86.805731257015651</v>
      </c>
    </row>
    <row r="473" spans="1:11" ht="15" customHeight="1" x14ac:dyDescent="0.25">
      <c r="K473" s="6" t="e">
        <f t="shared" ca="1" si="22"/>
        <v>#REF!</v>
      </c>
    </row>
    <row r="474" spans="1:11" ht="15" customHeight="1" x14ac:dyDescent="0.25">
      <c r="A474">
        <v>2017</v>
      </c>
      <c r="B474">
        <v>20</v>
      </c>
      <c r="C474" t="s">
        <v>44</v>
      </c>
      <c r="D474" t="s">
        <v>294</v>
      </c>
      <c r="E474" s="6">
        <f t="shared" ca="1" si="21"/>
        <v>86.805731257015651</v>
      </c>
      <c r="I474" t="s">
        <v>97</v>
      </c>
      <c r="J474">
        <f>J456+1</f>
        <v>29</v>
      </c>
      <c r="K474" s="6">
        <f t="shared" ca="1" si="22"/>
        <v>86.805731257015651</v>
      </c>
    </row>
    <row r="475" spans="1:11" ht="15" customHeight="1" x14ac:dyDescent="0.25">
      <c r="K475" s="6" t="e">
        <f t="shared" ca="1" si="22"/>
        <v>#REF!</v>
      </c>
    </row>
    <row r="476" spans="1:11" ht="15" customHeight="1" x14ac:dyDescent="0.25">
      <c r="A476">
        <v>2017</v>
      </c>
      <c r="B476">
        <v>20</v>
      </c>
      <c r="C476" t="s">
        <v>44</v>
      </c>
      <c r="D476" t="s">
        <v>74</v>
      </c>
      <c r="E476" s="6">
        <f t="shared" ca="1" si="21"/>
        <v>69.444585005612524</v>
      </c>
      <c r="I476" t="s">
        <v>98</v>
      </c>
      <c r="J476">
        <f>J458+1</f>
        <v>29</v>
      </c>
      <c r="K476" s="6">
        <f t="shared" ca="1" si="22"/>
        <v>69.444585005612524</v>
      </c>
    </row>
    <row r="477" spans="1:11" ht="15" customHeight="1" x14ac:dyDescent="0.25">
      <c r="K477" s="6" t="e">
        <f t="shared" ca="1" si="22"/>
        <v>#REF!</v>
      </c>
    </row>
    <row r="478" spans="1:11" ht="15" customHeight="1" x14ac:dyDescent="0.25">
      <c r="A478">
        <v>2017</v>
      </c>
      <c r="B478">
        <v>20</v>
      </c>
      <c r="C478" t="s">
        <v>44</v>
      </c>
      <c r="D478" t="s">
        <v>75</v>
      </c>
      <c r="E478" s="6">
        <f t="shared" ca="1" si="21"/>
        <v>69.444585005612524</v>
      </c>
      <c r="I478" t="s">
        <v>98</v>
      </c>
      <c r="J478">
        <f>J460+1</f>
        <v>29</v>
      </c>
      <c r="K478" s="6">
        <f t="shared" ca="1" si="22"/>
        <v>69.444585005612524</v>
      </c>
    </row>
    <row r="479" spans="1:11" ht="15" customHeight="1" x14ac:dyDescent="0.25">
      <c r="K479" s="6" t="e">
        <f t="shared" ca="1" si="22"/>
        <v>#REF!</v>
      </c>
    </row>
    <row r="480" spans="1:11" ht="15" customHeight="1" x14ac:dyDescent="0.25">
      <c r="A480">
        <v>2017</v>
      </c>
      <c r="B480">
        <v>20</v>
      </c>
      <c r="C480" t="s">
        <v>44</v>
      </c>
      <c r="D480" t="s">
        <v>76</v>
      </c>
      <c r="E480" s="6">
        <f t="shared" ca="1" si="21"/>
        <v>69.444585005612524</v>
      </c>
      <c r="I480" t="s">
        <v>98</v>
      </c>
      <c r="J480">
        <f>J462+1</f>
        <v>29</v>
      </c>
      <c r="K480" s="6">
        <f t="shared" ca="1" si="22"/>
        <v>69.444585005612524</v>
      </c>
    </row>
    <row r="481" spans="1:11" ht="15" customHeight="1" x14ac:dyDescent="0.25">
      <c r="K481" s="6" t="e">
        <f t="shared" ca="1" si="22"/>
        <v>#REF!</v>
      </c>
    </row>
    <row r="482" spans="1:11" ht="15" customHeight="1" x14ac:dyDescent="0.25">
      <c r="A482">
        <v>2017</v>
      </c>
      <c r="B482">
        <v>20</v>
      </c>
      <c r="C482" t="s">
        <v>44</v>
      </c>
      <c r="D482" t="s">
        <v>77</v>
      </c>
      <c r="E482" s="6">
        <f t="shared" ca="1" si="21"/>
        <v>20</v>
      </c>
      <c r="I482" t="s">
        <v>99</v>
      </c>
      <c r="J482">
        <f>J464+1</f>
        <v>29</v>
      </c>
      <c r="K482" s="6">
        <f t="shared" ca="1" si="22"/>
        <v>20</v>
      </c>
    </row>
    <row r="483" spans="1:11" ht="15" customHeight="1" x14ac:dyDescent="0.25">
      <c r="K483" s="6" t="e">
        <f t="shared" ca="1" si="22"/>
        <v>#REF!</v>
      </c>
    </row>
    <row r="484" spans="1:11" ht="15" customHeight="1" x14ac:dyDescent="0.25">
      <c r="A484">
        <v>2017</v>
      </c>
      <c r="B484">
        <v>20</v>
      </c>
      <c r="C484" t="s">
        <v>44</v>
      </c>
      <c r="D484" t="s">
        <v>78</v>
      </c>
      <c r="E484" s="6">
        <f t="shared" ca="1" si="21"/>
        <v>20</v>
      </c>
      <c r="I484" t="s">
        <v>99</v>
      </c>
      <c r="J484">
        <f>J466+1</f>
        <v>29</v>
      </c>
      <c r="K484" s="6">
        <f t="shared" ca="1" si="22"/>
        <v>20</v>
      </c>
    </row>
    <row r="485" spans="1:11" ht="15" customHeight="1" x14ac:dyDescent="0.25">
      <c r="K485" s="6" t="e">
        <f t="shared" ca="1" si="22"/>
        <v>#REF!</v>
      </c>
    </row>
    <row r="486" spans="1:11" ht="15" customHeight="1" x14ac:dyDescent="0.25">
      <c r="A486">
        <v>2017</v>
      </c>
      <c r="B486">
        <v>20</v>
      </c>
      <c r="C486" t="s">
        <v>44</v>
      </c>
      <c r="D486" t="s">
        <v>79</v>
      </c>
      <c r="E486" s="6">
        <f t="shared" ca="1" si="21"/>
        <v>20</v>
      </c>
      <c r="I486" t="s">
        <v>99</v>
      </c>
      <c r="J486">
        <f>J468+1</f>
        <v>29</v>
      </c>
      <c r="K486" s="6">
        <f t="shared" ca="1" si="22"/>
        <v>20</v>
      </c>
    </row>
    <row r="488" spans="1:11" ht="15" customHeight="1" x14ac:dyDescent="0.25">
      <c r="A488">
        <v>2017</v>
      </c>
      <c r="B488">
        <v>54</v>
      </c>
      <c r="C488" t="s">
        <v>80</v>
      </c>
      <c r="D488" t="s">
        <v>292</v>
      </c>
      <c r="E488" s="6">
        <f t="shared" ca="1" si="21"/>
        <v>86.317856759746476</v>
      </c>
      <c r="I488" t="s">
        <v>97</v>
      </c>
      <c r="J488">
        <f>J470+1</f>
        <v>30</v>
      </c>
      <c r="K488" s="6">
        <f t="shared" ref="K488:K540" ca="1" si="23">INDIRECT(CONCATENATE("'P Fertilizer Rate'!",I488,J488))</f>
        <v>86.317856759746476</v>
      </c>
    </row>
    <row r="489" spans="1:11" ht="15" customHeight="1" x14ac:dyDescent="0.25">
      <c r="K489" s="6" t="e">
        <f t="shared" ca="1" si="23"/>
        <v>#REF!</v>
      </c>
    </row>
    <row r="490" spans="1:11" ht="15" customHeight="1" x14ac:dyDescent="0.25">
      <c r="A490">
        <v>2017</v>
      </c>
      <c r="B490">
        <v>54</v>
      </c>
      <c r="C490" t="s">
        <v>80</v>
      </c>
      <c r="D490" t="s">
        <v>293</v>
      </c>
      <c r="E490" s="6">
        <f t="shared" ca="1" si="21"/>
        <v>86.317856759746476</v>
      </c>
      <c r="I490" t="s">
        <v>97</v>
      </c>
      <c r="J490">
        <f>J472+1</f>
        <v>30</v>
      </c>
      <c r="K490" s="6">
        <f t="shared" ca="1" si="23"/>
        <v>86.317856759746476</v>
      </c>
    </row>
    <row r="491" spans="1:11" ht="15" customHeight="1" x14ac:dyDescent="0.25">
      <c r="K491" s="6" t="e">
        <f t="shared" ca="1" si="23"/>
        <v>#REF!</v>
      </c>
    </row>
    <row r="492" spans="1:11" ht="15" customHeight="1" x14ac:dyDescent="0.25">
      <c r="A492">
        <v>2017</v>
      </c>
      <c r="B492">
        <v>54</v>
      </c>
      <c r="C492" t="s">
        <v>80</v>
      </c>
      <c r="D492" t="s">
        <v>294</v>
      </c>
      <c r="E492" s="6">
        <f t="shared" ca="1" si="21"/>
        <v>86.317856759746476</v>
      </c>
      <c r="I492" t="s">
        <v>97</v>
      </c>
      <c r="J492">
        <f>J474+1</f>
        <v>30</v>
      </c>
      <c r="K492" s="6">
        <f t="shared" ca="1" si="23"/>
        <v>86.317856759746476</v>
      </c>
    </row>
    <row r="493" spans="1:11" ht="15" customHeight="1" x14ac:dyDescent="0.25">
      <c r="K493" s="6" t="e">
        <f t="shared" ca="1" si="23"/>
        <v>#REF!</v>
      </c>
    </row>
    <row r="494" spans="1:11" ht="15" customHeight="1" x14ac:dyDescent="0.25">
      <c r="A494">
        <v>2017</v>
      </c>
      <c r="B494">
        <v>54</v>
      </c>
      <c r="C494" t="s">
        <v>80</v>
      </c>
      <c r="D494" t="s">
        <v>74</v>
      </c>
      <c r="E494" s="6">
        <f t="shared" ca="1" si="21"/>
        <v>69.054285407797181</v>
      </c>
      <c r="I494" t="s">
        <v>98</v>
      </c>
      <c r="J494">
        <f>J476+1</f>
        <v>30</v>
      </c>
      <c r="K494" s="6">
        <f t="shared" ca="1" si="23"/>
        <v>69.054285407797181</v>
      </c>
    </row>
    <row r="495" spans="1:11" ht="15" customHeight="1" x14ac:dyDescent="0.25">
      <c r="K495" s="6" t="e">
        <f t="shared" ca="1" si="23"/>
        <v>#REF!</v>
      </c>
    </row>
    <row r="496" spans="1:11" ht="15" customHeight="1" x14ac:dyDescent="0.25">
      <c r="A496">
        <v>2017</v>
      </c>
      <c r="B496">
        <v>54</v>
      </c>
      <c r="C496" t="s">
        <v>80</v>
      </c>
      <c r="D496" t="s">
        <v>75</v>
      </c>
      <c r="E496" s="6">
        <f t="shared" ca="1" si="21"/>
        <v>69.054285407797181</v>
      </c>
      <c r="I496" t="s">
        <v>98</v>
      </c>
      <c r="J496">
        <f>J478+1</f>
        <v>30</v>
      </c>
      <c r="K496" s="6">
        <f t="shared" ca="1" si="23"/>
        <v>69.054285407797181</v>
      </c>
    </row>
    <row r="497" spans="1:11" ht="15" customHeight="1" x14ac:dyDescent="0.25">
      <c r="K497" s="6" t="e">
        <f t="shared" ca="1" si="23"/>
        <v>#REF!</v>
      </c>
    </row>
    <row r="498" spans="1:11" ht="15" customHeight="1" x14ac:dyDescent="0.25">
      <c r="A498">
        <v>2017</v>
      </c>
      <c r="B498">
        <v>54</v>
      </c>
      <c r="C498" t="s">
        <v>80</v>
      </c>
      <c r="D498" t="s">
        <v>76</v>
      </c>
      <c r="E498" s="6">
        <f t="shared" ca="1" si="21"/>
        <v>69.054285407797181</v>
      </c>
      <c r="I498" t="s">
        <v>98</v>
      </c>
      <c r="J498">
        <f>J480+1</f>
        <v>30</v>
      </c>
      <c r="K498" s="6">
        <f t="shared" ca="1" si="23"/>
        <v>69.054285407797181</v>
      </c>
    </row>
    <row r="499" spans="1:11" ht="15" customHeight="1" x14ac:dyDescent="0.25">
      <c r="K499" s="6" t="e">
        <f t="shared" ca="1" si="23"/>
        <v>#REF!</v>
      </c>
    </row>
    <row r="500" spans="1:11" ht="15" customHeight="1" x14ac:dyDescent="0.25">
      <c r="A500">
        <v>2017</v>
      </c>
      <c r="B500">
        <v>54</v>
      </c>
      <c r="C500" t="s">
        <v>80</v>
      </c>
      <c r="D500" t="s">
        <v>77</v>
      </c>
      <c r="E500" s="6">
        <f t="shared" ca="1" si="21"/>
        <v>20</v>
      </c>
      <c r="I500" t="s">
        <v>99</v>
      </c>
      <c r="J500">
        <f>J482+1</f>
        <v>30</v>
      </c>
      <c r="K500" s="6">
        <f t="shared" ca="1" si="23"/>
        <v>20</v>
      </c>
    </row>
    <row r="501" spans="1:11" ht="15" customHeight="1" x14ac:dyDescent="0.25">
      <c r="K501" s="6" t="e">
        <f t="shared" ca="1" si="23"/>
        <v>#REF!</v>
      </c>
    </row>
    <row r="502" spans="1:11" ht="15" customHeight="1" x14ac:dyDescent="0.25">
      <c r="A502">
        <v>2017</v>
      </c>
      <c r="B502">
        <v>54</v>
      </c>
      <c r="C502" t="s">
        <v>80</v>
      </c>
      <c r="D502" t="s">
        <v>78</v>
      </c>
      <c r="E502" s="6">
        <f t="shared" ca="1" si="21"/>
        <v>20</v>
      </c>
      <c r="I502" t="s">
        <v>99</v>
      </c>
      <c r="J502">
        <f>J484+1</f>
        <v>30</v>
      </c>
      <c r="K502" s="6">
        <f t="shared" ca="1" si="23"/>
        <v>20</v>
      </c>
    </row>
    <row r="503" spans="1:11" ht="15" customHeight="1" x14ac:dyDescent="0.25">
      <c r="K503" s="6" t="e">
        <f t="shared" ca="1" si="23"/>
        <v>#REF!</v>
      </c>
    </row>
    <row r="504" spans="1:11" ht="15" customHeight="1" x14ac:dyDescent="0.25">
      <c r="A504">
        <v>2017</v>
      </c>
      <c r="B504">
        <v>54</v>
      </c>
      <c r="C504" t="s">
        <v>80</v>
      </c>
      <c r="D504" t="s">
        <v>79</v>
      </c>
      <c r="E504" s="6">
        <f t="shared" ca="1" si="21"/>
        <v>20</v>
      </c>
      <c r="I504" t="s">
        <v>99</v>
      </c>
      <c r="J504">
        <f>J486+1</f>
        <v>30</v>
      </c>
      <c r="K504" s="6">
        <f t="shared" ca="1" si="23"/>
        <v>20</v>
      </c>
    </row>
    <row r="506" spans="1:11" ht="15" customHeight="1" x14ac:dyDescent="0.25">
      <c r="A506">
        <v>2017</v>
      </c>
      <c r="B506">
        <v>83</v>
      </c>
      <c r="C506" t="s">
        <v>81</v>
      </c>
      <c r="D506" t="s">
        <v>292</v>
      </c>
      <c r="E506" s="6">
        <f t="shared" ca="1" si="21"/>
        <v>89.17301225522472</v>
      </c>
      <c r="I506" t="s">
        <v>97</v>
      </c>
      <c r="J506">
        <f>J488+1</f>
        <v>31</v>
      </c>
      <c r="K506" s="6">
        <f ca="1">INDIRECT(CONCATENATE("'P Fertilizer Rate'!",I506,J506))</f>
        <v>89.17301225522472</v>
      </c>
    </row>
    <row r="507" spans="1:11" ht="15" customHeight="1" x14ac:dyDescent="0.25">
      <c r="K507" s="6" t="e">
        <f t="shared" ca="1" si="22"/>
        <v>#REF!</v>
      </c>
    </row>
    <row r="508" spans="1:11" ht="15" customHeight="1" x14ac:dyDescent="0.25">
      <c r="A508">
        <v>2017</v>
      </c>
      <c r="B508">
        <v>83</v>
      </c>
      <c r="C508" t="s">
        <v>81</v>
      </c>
      <c r="D508" t="s">
        <v>293</v>
      </c>
      <c r="E508" s="6">
        <f t="shared" ca="1" si="21"/>
        <v>89.17301225522472</v>
      </c>
      <c r="I508" t="s">
        <v>97</v>
      </c>
      <c r="J508">
        <f>J490+1</f>
        <v>31</v>
      </c>
      <c r="K508" s="6">
        <f t="shared" ca="1" si="22"/>
        <v>89.17301225522472</v>
      </c>
    </row>
    <row r="509" spans="1:11" ht="15" customHeight="1" x14ac:dyDescent="0.25">
      <c r="K509" s="6" t="e">
        <f t="shared" ca="1" si="22"/>
        <v>#REF!</v>
      </c>
    </row>
    <row r="510" spans="1:11" ht="15" customHeight="1" x14ac:dyDescent="0.25">
      <c r="A510">
        <v>2017</v>
      </c>
      <c r="B510">
        <v>83</v>
      </c>
      <c r="C510" t="s">
        <v>81</v>
      </c>
      <c r="D510" t="s">
        <v>294</v>
      </c>
      <c r="E510" s="6">
        <f t="shared" ca="1" si="21"/>
        <v>89.17301225522472</v>
      </c>
      <c r="I510" t="s">
        <v>97</v>
      </c>
      <c r="J510">
        <f>J492+1</f>
        <v>31</v>
      </c>
      <c r="K510" s="6">
        <f t="shared" ca="1" si="22"/>
        <v>89.17301225522472</v>
      </c>
    </row>
    <row r="511" spans="1:11" ht="15" customHeight="1" x14ac:dyDescent="0.25">
      <c r="K511" s="6" t="e">
        <f t="shared" ca="1" si="22"/>
        <v>#REF!</v>
      </c>
    </row>
    <row r="512" spans="1:11" ht="15" customHeight="1" x14ac:dyDescent="0.25">
      <c r="A512">
        <v>2017</v>
      </c>
      <c r="B512">
        <v>83</v>
      </c>
      <c r="C512" t="s">
        <v>81</v>
      </c>
      <c r="D512" t="s">
        <v>74</v>
      </c>
      <c r="E512" s="6">
        <f t="shared" ca="1" si="21"/>
        <v>71.338409804179776</v>
      </c>
      <c r="I512" t="s">
        <v>98</v>
      </c>
      <c r="J512">
        <f>J494+1</f>
        <v>31</v>
      </c>
      <c r="K512" s="6">
        <f t="shared" ca="1" si="22"/>
        <v>71.338409804179776</v>
      </c>
    </row>
    <row r="513" spans="1:11" ht="15" customHeight="1" x14ac:dyDescent="0.25">
      <c r="K513" s="6" t="e">
        <f t="shared" ca="1" si="22"/>
        <v>#REF!</v>
      </c>
    </row>
    <row r="514" spans="1:11" ht="15" customHeight="1" x14ac:dyDescent="0.25">
      <c r="A514">
        <v>2017</v>
      </c>
      <c r="B514">
        <v>83</v>
      </c>
      <c r="C514" t="s">
        <v>81</v>
      </c>
      <c r="D514" t="s">
        <v>75</v>
      </c>
      <c r="E514" s="6">
        <f t="shared" ca="1" si="21"/>
        <v>71.338409804179776</v>
      </c>
      <c r="I514" t="s">
        <v>98</v>
      </c>
      <c r="J514">
        <f>J496+1</f>
        <v>31</v>
      </c>
      <c r="K514" s="6">
        <f t="shared" ca="1" si="22"/>
        <v>71.338409804179776</v>
      </c>
    </row>
    <row r="515" spans="1:11" ht="15" customHeight="1" x14ac:dyDescent="0.25">
      <c r="K515" s="6" t="e">
        <f t="shared" ca="1" si="22"/>
        <v>#REF!</v>
      </c>
    </row>
    <row r="516" spans="1:11" ht="15" customHeight="1" x14ac:dyDescent="0.25">
      <c r="A516">
        <v>2017</v>
      </c>
      <c r="B516">
        <v>83</v>
      </c>
      <c r="C516" t="s">
        <v>81</v>
      </c>
      <c r="D516" t="s">
        <v>76</v>
      </c>
      <c r="E516" s="6">
        <f t="shared" ca="1" si="21"/>
        <v>71.338409804179776</v>
      </c>
      <c r="I516" t="s">
        <v>98</v>
      </c>
      <c r="J516">
        <f>J498+1</f>
        <v>31</v>
      </c>
      <c r="K516" s="6">
        <f t="shared" ca="1" si="22"/>
        <v>71.338409804179776</v>
      </c>
    </row>
    <row r="517" spans="1:11" ht="15" customHeight="1" x14ac:dyDescent="0.25">
      <c r="K517" s="6" t="e">
        <f t="shared" ca="1" si="22"/>
        <v>#REF!</v>
      </c>
    </row>
    <row r="518" spans="1:11" ht="15" customHeight="1" x14ac:dyDescent="0.25">
      <c r="A518">
        <v>2017</v>
      </c>
      <c r="B518">
        <v>83</v>
      </c>
      <c r="C518" t="s">
        <v>81</v>
      </c>
      <c r="D518" t="s">
        <v>77</v>
      </c>
      <c r="E518" s="6">
        <f t="shared" ca="1" si="21"/>
        <v>20</v>
      </c>
      <c r="I518" t="s">
        <v>99</v>
      </c>
      <c r="J518">
        <f>J500+1</f>
        <v>31</v>
      </c>
      <c r="K518" s="6">
        <f t="shared" ca="1" si="22"/>
        <v>20</v>
      </c>
    </row>
    <row r="519" spans="1:11" ht="15" customHeight="1" x14ac:dyDescent="0.25">
      <c r="K519" s="6" t="e">
        <f t="shared" ca="1" si="22"/>
        <v>#REF!</v>
      </c>
    </row>
    <row r="520" spans="1:11" ht="15" customHeight="1" x14ac:dyDescent="0.25">
      <c r="A520">
        <v>2017</v>
      </c>
      <c r="B520">
        <v>83</v>
      </c>
      <c r="C520" t="s">
        <v>81</v>
      </c>
      <c r="D520" t="s">
        <v>78</v>
      </c>
      <c r="E520" s="6">
        <f t="shared" ca="1" si="21"/>
        <v>20</v>
      </c>
      <c r="I520" t="s">
        <v>99</v>
      </c>
      <c r="J520">
        <f>J502+1</f>
        <v>31</v>
      </c>
      <c r="K520" s="6">
        <f t="shared" ca="1" si="22"/>
        <v>20</v>
      </c>
    </row>
    <row r="521" spans="1:11" ht="15" customHeight="1" x14ac:dyDescent="0.25">
      <c r="K521" s="6" t="e">
        <f t="shared" ca="1" si="22"/>
        <v>#REF!</v>
      </c>
    </row>
    <row r="522" spans="1:11" ht="15" customHeight="1" x14ac:dyDescent="0.25">
      <c r="A522">
        <v>2017</v>
      </c>
      <c r="B522">
        <v>83</v>
      </c>
      <c r="C522" t="s">
        <v>81</v>
      </c>
      <c r="D522" t="s">
        <v>79</v>
      </c>
      <c r="E522" s="6">
        <f t="shared" ca="1" si="21"/>
        <v>20</v>
      </c>
      <c r="I522" t="s">
        <v>99</v>
      </c>
      <c r="J522">
        <f>J504+1</f>
        <v>31</v>
      </c>
      <c r="K522" s="6">
        <f t="shared" ca="1" si="22"/>
        <v>20</v>
      </c>
    </row>
    <row r="524" spans="1:11" ht="15" customHeight="1" x14ac:dyDescent="0.25">
      <c r="A524">
        <v>2017</v>
      </c>
      <c r="B524">
        <v>71</v>
      </c>
      <c r="C524" t="s">
        <v>82</v>
      </c>
      <c r="D524" t="s">
        <v>292</v>
      </c>
      <c r="E524" s="6">
        <f t="shared" ca="1" si="21"/>
        <v>91.179158066797982</v>
      </c>
      <c r="I524" t="s">
        <v>97</v>
      </c>
      <c r="J524">
        <f>J506+1</f>
        <v>32</v>
      </c>
      <c r="K524" s="6">
        <f ca="1">INDIRECT(CONCATENATE("'P Fertilizer Rate'!",I524,J524))</f>
        <v>91.179158066797982</v>
      </c>
    </row>
    <row r="525" spans="1:11" ht="15" customHeight="1" x14ac:dyDescent="0.25">
      <c r="K525" s="6" t="e">
        <f t="shared" ca="1" si="23"/>
        <v>#REF!</v>
      </c>
    </row>
    <row r="526" spans="1:11" ht="15" customHeight="1" x14ac:dyDescent="0.25">
      <c r="A526">
        <v>2017</v>
      </c>
      <c r="B526">
        <v>71</v>
      </c>
      <c r="C526" t="s">
        <v>82</v>
      </c>
      <c r="D526" t="s">
        <v>293</v>
      </c>
      <c r="E526" s="6">
        <f t="shared" ca="1" si="21"/>
        <v>91.179158066797982</v>
      </c>
      <c r="I526" t="s">
        <v>97</v>
      </c>
      <c r="J526">
        <f>J508+1</f>
        <v>32</v>
      </c>
      <c r="K526" s="6">
        <f t="shared" ca="1" si="23"/>
        <v>91.179158066797982</v>
      </c>
    </row>
    <row r="527" spans="1:11" ht="15" customHeight="1" x14ac:dyDescent="0.25">
      <c r="K527" s="6" t="e">
        <f t="shared" ca="1" si="23"/>
        <v>#REF!</v>
      </c>
    </row>
    <row r="528" spans="1:11" ht="15" customHeight="1" x14ac:dyDescent="0.25">
      <c r="A528">
        <v>2017</v>
      </c>
      <c r="B528">
        <v>71</v>
      </c>
      <c r="C528" t="s">
        <v>82</v>
      </c>
      <c r="D528" t="s">
        <v>294</v>
      </c>
      <c r="E528" s="6">
        <f t="shared" ca="1" si="21"/>
        <v>91.179158066797982</v>
      </c>
      <c r="I528" t="s">
        <v>97</v>
      </c>
      <c r="J528">
        <f>J510+1</f>
        <v>32</v>
      </c>
      <c r="K528" s="6">
        <f t="shared" ca="1" si="23"/>
        <v>91.179158066797982</v>
      </c>
    </row>
    <row r="529" spans="1:11" ht="15" customHeight="1" x14ac:dyDescent="0.25">
      <c r="K529" s="6" t="e">
        <f t="shared" ca="1" si="23"/>
        <v>#REF!</v>
      </c>
    </row>
    <row r="530" spans="1:11" ht="15" customHeight="1" x14ac:dyDescent="0.25">
      <c r="A530">
        <v>2017</v>
      </c>
      <c r="B530">
        <v>71</v>
      </c>
      <c r="C530" t="s">
        <v>82</v>
      </c>
      <c r="D530" t="s">
        <v>74</v>
      </c>
      <c r="E530" s="6">
        <f t="shared" ref="E530:E540" ca="1" si="24">K530</f>
        <v>72.943326453438388</v>
      </c>
      <c r="I530" t="s">
        <v>98</v>
      </c>
      <c r="J530">
        <f>J512+1</f>
        <v>32</v>
      </c>
      <c r="K530" s="6">
        <f t="shared" ca="1" si="23"/>
        <v>72.943326453438388</v>
      </c>
    </row>
    <row r="531" spans="1:11" ht="15" customHeight="1" x14ac:dyDescent="0.25">
      <c r="K531" s="6" t="e">
        <f t="shared" ca="1" si="23"/>
        <v>#REF!</v>
      </c>
    </row>
    <row r="532" spans="1:11" ht="15" customHeight="1" x14ac:dyDescent="0.25">
      <c r="A532">
        <v>2017</v>
      </c>
      <c r="B532">
        <v>71</v>
      </c>
      <c r="C532" t="s">
        <v>82</v>
      </c>
      <c r="D532" t="s">
        <v>75</v>
      </c>
      <c r="E532" s="6">
        <f t="shared" ca="1" si="24"/>
        <v>72.943326453438388</v>
      </c>
      <c r="I532" t="s">
        <v>98</v>
      </c>
      <c r="J532">
        <f>J514+1</f>
        <v>32</v>
      </c>
      <c r="K532" s="6">
        <f t="shared" ca="1" si="23"/>
        <v>72.943326453438388</v>
      </c>
    </row>
    <row r="533" spans="1:11" ht="15" customHeight="1" x14ac:dyDescent="0.25">
      <c r="K533" s="6" t="e">
        <f t="shared" ca="1" si="23"/>
        <v>#REF!</v>
      </c>
    </row>
    <row r="534" spans="1:11" ht="15" customHeight="1" x14ac:dyDescent="0.25">
      <c r="A534">
        <v>2017</v>
      </c>
      <c r="B534">
        <v>71</v>
      </c>
      <c r="C534" t="s">
        <v>82</v>
      </c>
      <c r="D534" t="s">
        <v>76</v>
      </c>
      <c r="E534" s="6">
        <f t="shared" ca="1" si="24"/>
        <v>72.943326453438388</v>
      </c>
      <c r="I534" t="s">
        <v>98</v>
      </c>
      <c r="J534">
        <f>J516+1</f>
        <v>32</v>
      </c>
      <c r="K534" s="6">
        <f t="shared" ca="1" si="23"/>
        <v>72.943326453438388</v>
      </c>
    </row>
    <row r="535" spans="1:11" ht="15" customHeight="1" x14ac:dyDescent="0.25">
      <c r="K535" s="6" t="e">
        <f t="shared" ca="1" si="23"/>
        <v>#REF!</v>
      </c>
    </row>
    <row r="536" spans="1:11" ht="15" customHeight="1" x14ac:dyDescent="0.25">
      <c r="A536">
        <v>2017</v>
      </c>
      <c r="B536">
        <v>71</v>
      </c>
      <c r="C536" t="s">
        <v>82</v>
      </c>
      <c r="D536" t="s">
        <v>77</v>
      </c>
      <c r="E536" s="6">
        <f t="shared" ca="1" si="24"/>
        <v>20</v>
      </c>
      <c r="I536" t="s">
        <v>99</v>
      </c>
      <c r="J536">
        <f>J518+1</f>
        <v>32</v>
      </c>
      <c r="K536" s="6">
        <f t="shared" ca="1" si="23"/>
        <v>20</v>
      </c>
    </row>
    <row r="537" spans="1:11" ht="15" customHeight="1" x14ac:dyDescent="0.25">
      <c r="K537" s="6" t="e">
        <f t="shared" ca="1" si="23"/>
        <v>#REF!</v>
      </c>
    </row>
    <row r="538" spans="1:11" ht="15" customHeight="1" x14ac:dyDescent="0.25">
      <c r="A538">
        <v>2017</v>
      </c>
      <c r="B538">
        <v>71</v>
      </c>
      <c r="C538" t="s">
        <v>82</v>
      </c>
      <c r="D538" t="s">
        <v>78</v>
      </c>
      <c r="E538" s="6">
        <f t="shared" ca="1" si="24"/>
        <v>20</v>
      </c>
      <c r="I538" t="s">
        <v>99</v>
      </c>
      <c r="J538">
        <f>J520+1</f>
        <v>32</v>
      </c>
      <c r="K538" s="6">
        <f t="shared" ca="1" si="23"/>
        <v>20</v>
      </c>
    </row>
    <row r="539" spans="1:11" ht="15" customHeight="1" x14ac:dyDescent="0.25">
      <c r="K539" s="6" t="e">
        <f t="shared" ca="1" si="23"/>
        <v>#REF!</v>
      </c>
    </row>
    <row r="540" spans="1:11" ht="15" customHeight="1" x14ac:dyDescent="0.25">
      <c r="A540">
        <v>2017</v>
      </c>
      <c r="B540">
        <v>71</v>
      </c>
      <c r="C540" t="s">
        <v>82</v>
      </c>
      <c r="D540" t="s">
        <v>79</v>
      </c>
      <c r="E540" s="6">
        <f t="shared" ca="1" si="24"/>
        <v>20</v>
      </c>
      <c r="I540" t="s">
        <v>99</v>
      </c>
      <c r="J540">
        <f>J522+1</f>
        <v>32</v>
      </c>
      <c r="K540" s="6">
        <f t="shared" ca="1" si="23"/>
        <v>20</v>
      </c>
    </row>
  </sheetData>
  <sheetProtection password="C2EC" sheet="1" objects="1" scenarios="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FFFF00"/>
  </sheetPr>
  <dimension ref="A1:H26"/>
  <sheetViews>
    <sheetView zoomScale="90" zoomScaleNormal="90" workbookViewId="0">
      <selection activeCell="E11" sqref="E11"/>
    </sheetView>
  </sheetViews>
  <sheetFormatPr defaultRowHeight="15" x14ac:dyDescent="0.25"/>
  <cols>
    <col min="1" max="1" width="11.5703125" style="56" customWidth="1"/>
    <col min="2" max="2" width="47" customWidth="1"/>
    <col min="3" max="3" width="31.42578125" customWidth="1"/>
    <col min="4" max="4" width="37.140625" customWidth="1"/>
    <col min="6" max="6" width="61.85546875" customWidth="1"/>
  </cols>
  <sheetData>
    <row r="1" spans="1:8" s="56" customFormat="1" ht="21.75" thickBot="1" x14ac:dyDescent="0.4">
      <c r="B1" s="169" t="s">
        <v>348</v>
      </c>
      <c r="C1" s="170"/>
      <c r="D1" s="171"/>
    </row>
    <row r="2" spans="1:8" s="56" customFormat="1" ht="85.5" customHeight="1" x14ac:dyDescent="0.25">
      <c r="B2" s="172" t="s">
        <v>389</v>
      </c>
      <c r="C2" s="173"/>
      <c r="D2" s="174"/>
    </row>
    <row r="3" spans="1:8" s="56" customFormat="1" ht="87" customHeight="1" thickBot="1" x14ac:dyDescent="0.3">
      <c r="B3" s="175"/>
      <c r="C3" s="176"/>
      <c r="D3" s="177"/>
    </row>
    <row r="4" spans="1:8" ht="15.75" x14ac:dyDescent="0.25">
      <c r="B4" s="166" t="s">
        <v>274</v>
      </c>
      <c r="C4" s="167"/>
      <c r="D4" s="168"/>
      <c r="E4" s="73"/>
      <c r="F4" s="72"/>
      <c r="H4" s="100"/>
    </row>
    <row r="5" spans="1:8" ht="31.5" customHeight="1" x14ac:dyDescent="0.25">
      <c r="B5" s="111" t="s">
        <v>275</v>
      </c>
      <c r="C5" s="112" t="s">
        <v>173</v>
      </c>
      <c r="D5" s="112" t="s">
        <v>356</v>
      </c>
      <c r="E5" s="73"/>
      <c r="F5" s="86"/>
      <c r="H5" s="100"/>
    </row>
    <row r="6" spans="1:8" ht="15.75" hidden="1" x14ac:dyDescent="0.25">
      <c r="A6" s="178" t="s">
        <v>359</v>
      </c>
      <c r="B6" s="113" t="s">
        <v>276</v>
      </c>
      <c r="C6" s="114">
        <f>(INDEX('BMP Removal Rates'!F3:F32, MATCH('(STEP 1) Baseline Conditions'!$B$5,'BMP Removal Rates'!$A$3:$A$32,0),0))*'(STEP 1) Baseline Conditions'!$B$8</f>
        <v>0.83200000000000007</v>
      </c>
      <c r="D6" s="115">
        <f>(INDEX('BMP Removal Rates'!G3:G32, MATCH('(STEP 1) Baseline Conditions'!$B$5,'BMP Removal Rates'!$A$3:$A$32,0),0))*'(STEP 1) Baseline Conditions'!$B$9</f>
        <v>0.33824999999999994</v>
      </c>
      <c r="E6" s="70"/>
      <c r="F6" s="72"/>
      <c r="H6" s="101" t="b">
        <v>0</v>
      </c>
    </row>
    <row r="7" spans="1:8" ht="15.75" x14ac:dyDescent="0.25">
      <c r="A7" s="179"/>
      <c r="B7" s="116" t="s">
        <v>358</v>
      </c>
      <c r="C7" s="126">
        <f>INDEX('BMP Removal Rates'!J3:J32,MATCH('(STEP 1) Baseline Conditions'!$B$5,'BMP Removal Rates'!$A$3:$A$32,0),0)*'(STEP 1) Baseline Conditions'!$B$8</f>
        <v>1.8720000000000001</v>
      </c>
      <c r="D7" s="127">
        <f>INDEX('BMP Removal Rates'!K3:K32, MATCH('(STEP 1) Baseline Conditions'!$B$5,'BMP Removal Rates'!$A$3:$A$32,0),0)*'(STEP 1) Baseline Conditions'!$B$9</f>
        <v>0.33824999999999994</v>
      </c>
      <c r="E7" s="70"/>
      <c r="F7" s="72"/>
      <c r="H7" s="101" t="b">
        <v>0</v>
      </c>
    </row>
    <row r="8" spans="1:8" ht="15.75" x14ac:dyDescent="0.25">
      <c r="A8" s="179"/>
      <c r="B8" s="116" t="s">
        <v>277</v>
      </c>
      <c r="C8" s="126">
        <f>(INDEX('BMP Removal Rates'!D3:D32, MATCH('(STEP 1) Baseline Conditions'!$B$5,'BMP Removal Rates'!$A$3:$A$32,0),0))*'(STEP 1) Baseline Conditions'!$B$8</f>
        <v>1.2896000000000001</v>
      </c>
      <c r="D8" s="127">
        <f>(INDEX('BMP Removal Rates'!E3:E32, MATCH('(STEP 1) Baseline Conditions'!$B$5,'BMP Removal Rates'!$A$3:$A$32,0),0))*'(STEP 1) Baseline Conditions'!$B$9</f>
        <v>0.17363499999999998</v>
      </c>
      <c r="E8" s="70"/>
      <c r="F8" s="72"/>
      <c r="H8" s="101" t="b">
        <v>0</v>
      </c>
    </row>
    <row r="9" spans="1:8" ht="15.75" x14ac:dyDescent="0.25">
      <c r="A9" s="179"/>
      <c r="B9" s="116" t="s">
        <v>278</v>
      </c>
      <c r="C9" s="126">
        <f>(INDEX('BMP Removal Rates'!B3:B32, MATCH('(STEP 1) Baseline Conditions'!$B$5,'BMP Removal Rates'!$A$3:$A$32,0),0))*'(STEP 1) Baseline Conditions'!$B$8</f>
        <v>0</v>
      </c>
      <c r="D9" s="127">
        <f>(INDEX('BMP Removal Rates'!C3:C32, MATCH('(STEP 1) Baseline Conditions'!$B$5,'BMP Removal Rates'!$A$3:$A$32,0),0))*'(STEP 1) Baseline Conditions'!$B$9</f>
        <v>0</v>
      </c>
      <c r="E9" s="70"/>
      <c r="F9" s="72"/>
      <c r="H9" s="101" t="b">
        <v>0</v>
      </c>
    </row>
    <row r="10" spans="1:8" ht="16.5" thickBot="1" x14ac:dyDescent="0.3">
      <c r="A10" s="179"/>
      <c r="B10" s="117" t="s">
        <v>279</v>
      </c>
      <c r="C10" s="128">
        <f>(INDEX('BMP Removal Rates'!L3:L32, MATCH('(STEP 1) Baseline Conditions'!$B$5,'BMP Removal Rates'!$A$3:$A$32,0),0))*'(STEP 1) Baseline Conditions'!$B$8</f>
        <v>0</v>
      </c>
      <c r="D10" s="129">
        <f>(INDEX('BMP Removal Rates'!M3:M32, MATCH('(STEP 1) Baseline Conditions'!$B$5,'BMP Removal Rates'!$A$3:$A$32,0),0))*'(STEP 1) Baseline Conditions'!$B$9</f>
        <v>0</v>
      </c>
      <c r="E10" s="70"/>
      <c r="F10" s="72"/>
      <c r="H10" s="101" t="b">
        <v>0</v>
      </c>
    </row>
    <row r="11" spans="1:8" ht="16.5" thickBot="1" x14ac:dyDescent="0.3">
      <c r="A11" s="180" t="s">
        <v>379</v>
      </c>
      <c r="B11" s="122" t="s">
        <v>357</v>
      </c>
      <c r="C11" s="130">
        <f>IF(E11="--select--", 0,'(STEP 1) Baseline Conditions'!B8*('Dosskey Coefficients'!F15)/100)</f>
        <v>2.08</v>
      </c>
      <c r="D11" s="131">
        <f>IF(E11="--select--",0,'(STEP 1) Baseline Conditions'!B9*(('Dosskey Coefficients'!I15)/100))</f>
        <v>0.34707729139449095</v>
      </c>
      <c r="E11" s="98">
        <v>16.5</v>
      </c>
      <c r="F11" s="72" t="s">
        <v>307</v>
      </c>
      <c r="H11" s="67" t="b">
        <v>1</v>
      </c>
    </row>
    <row r="12" spans="1:8" ht="16.5" thickBot="1" x14ac:dyDescent="0.3">
      <c r="A12" s="181"/>
      <c r="B12" s="121" t="s">
        <v>281</v>
      </c>
      <c r="C12" s="132">
        <f>(INDEX('BMP Removal Rates'!P3:P32, MATCH('(STEP 1) Baseline Conditions'!$B$5,'BMP Removal Rates'!$A$3:$A$32,0),0))*'(STEP 1) Baseline Conditions'!$B$8*(E12/100)</f>
        <v>0</v>
      </c>
      <c r="D12" s="133">
        <f>(INDEX('BMP Removal Rates'!Q3:Q32, MATCH('(STEP 1) Baseline Conditions'!$B$5,'BMP Removal Rates'!$A$3:$A$32,0),0))*'(STEP 1) Baseline Conditions'!$B$9*(E12/100)</f>
        <v>0</v>
      </c>
      <c r="E12" s="99">
        <v>10</v>
      </c>
      <c r="F12" s="72" t="s">
        <v>365</v>
      </c>
      <c r="H12" s="101" t="b">
        <v>0</v>
      </c>
    </row>
    <row r="13" spans="1:8" ht="16.5" thickBot="1" x14ac:dyDescent="0.3">
      <c r="A13" s="181"/>
      <c r="B13" s="116" t="s">
        <v>284</v>
      </c>
      <c r="C13" s="126">
        <f>(INDEX('BMP Removal Rates'!X3:X32, MATCH('(STEP 1) Baseline Conditions'!$B$5,'BMP Removal Rates'!$A$3:$A$32,0),0))*'(STEP 1) Baseline Conditions'!$B$8*(E13/100)</f>
        <v>0</v>
      </c>
      <c r="D13" s="127">
        <f>(INDEX('BMP Removal Rates'!Y3:Y32, MATCH('(STEP 1) Baseline Conditions'!$B$5,'BMP Removal Rates'!$A$3:$A$32,0),0))*'(STEP 1) Baseline Conditions'!$B$9*(E13/100)</f>
        <v>0</v>
      </c>
      <c r="E13" s="99">
        <v>10</v>
      </c>
      <c r="F13" s="72" t="s">
        <v>347</v>
      </c>
      <c r="H13" s="101" t="b">
        <v>0</v>
      </c>
    </row>
    <row r="14" spans="1:8" ht="16.5" thickBot="1" x14ac:dyDescent="0.3">
      <c r="A14" s="181"/>
      <c r="B14" s="116" t="s">
        <v>283</v>
      </c>
      <c r="C14" s="134">
        <f>(INDEX('BMP Removal Rates'!Z3:Z32, MATCH('(STEP 1) Baseline Conditions'!$B$5,'BMP Removal Rates'!$A$3:$A$32,0),0))*'(STEP 1) Baseline Conditions'!$B$8*(E14/100)</f>
        <v>0.15600000000000003</v>
      </c>
      <c r="D14" s="135">
        <f>(INDEX('BMP Removal Rates'!AA3:AA32, MATCH('(STEP 1) Baseline Conditions'!$B$5,'BMP Removal Rates'!$A$3:$A$32,0),0))*'(STEP 1) Baseline Conditions'!$B$9*(E14/100)</f>
        <v>3.2359249999999999E-2</v>
      </c>
      <c r="E14" s="99">
        <v>10</v>
      </c>
      <c r="F14" s="72" t="s">
        <v>347</v>
      </c>
      <c r="H14" s="101" t="b">
        <v>0</v>
      </c>
    </row>
    <row r="15" spans="1:8" s="56" customFormat="1" ht="16.5" thickBot="1" x14ac:dyDescent="0.3">
      <c r="A15" s="181"/>
      <c r="B15" s="116" t="s">
        <v>282</v>
      </c>
      <c r="C15" s="126">
        <f>(INDEX('BMP Removal Rates'!V3:V32, MATCH('(STEP 1) Baseline Conditions'!$B$5,'BMP Removal Rates'!$A$3:$A$32,0),0))*'(STEP 1) Baseline Conditions'!$B$8*(E15/100)</f>
        <v>0.15132000000000001</v>
      </c>
      <c r="D15" s="127">
        <f>(INDEX('BMP Removal Rates'!W3:W32, MATCH('(STEP 1) Baseline Conditions'!$B$5,'BMP Removal Rates'!$A$3:$A$32,0),0))*'(STEP 1) Baseline Conditions'!$B$9*(E15/100)</f>
        <v>3.4050499999999997E-2</v>
      </c>
      <c r="E15" s="99">
        <v>10</v>
      </c>
      <c r="F15" s="72" t="s">
        <v>311</v>
      </c>
      <c r="H15" s="101" t="b">
        <v>0</v>
      </c>
    </row>
    <row r="16" spans="1:8" ht="16.5" thickBot="1" x14ac:dyDescent="0.3">
      <c r="A16" s="181"/>
      <c r="B16" s="116" t="s">
        <v>305</v>
      </c>
      <c r="C16" s="126">
        <f>IF('(STEP 1) Baseline Conditions'!B7="Yes",(INDEX('BMP Removal Rates'!AB3:AB32, MATCH('(STEP 1) Baseline Conditions'!$B$5,'BMP Removal Rates'!$A$3:$A$32,0),0))*'(STEP 1) Baseline Conditions'!$B$8*(E16/100),0)</f>
        <v>0</v>
      </c>
      <c r="D16" s="127">
        <f>IF('(STEP 1) Baseline Conditions'!B7="Yes",(INDEX('BMP Removal Rates'!AC3:AC32, MATCH('(STEP 1) Baseline Conditions'!$B$5,'BMP Removal Rates'!$A$3:$A$32,0),0))*'(STEP 1) Baseline Conditions'!$B$9*(E16/100),0)</f>
        <v>0</v>
      </c>
      <c r="E16" s="99">
        <v>10</v>
      </c>
      <c r="F16" s="72" t="s">
        <v>312</v>
      </c>
      <c r="H16" s="101" t="b">
        <v>0</v>
      </c>
    </row>
    <row r="17" spans="1:8" ht="16.5" thickBot="1" x14ac:dyDescent="0.3">
      <c r="A17" s="182"/>
      <c r="B17" s="117" t="s">
        <v>280</v>
      </c>
      <c r="C17" s="128">
        <f>(INDEX('BMP Removal Rates'!N3:N32, MATCH('(STEP 1) Baseline Conditions'!$B$5,'BMP Removal Rates'!$A$3:$A$32,0),0))*'(STEP 1) Baseline Conditions'!$B$8*(E17/100)</f>
        <v>0.17056000000000002</v>
      </c>
      <c r="D17" s="129">
        <f>(INDEX('BMP Removal Rates'!O3:O32, MATCH('(STEP 1) Baseline Conditions'!$B$5,'BMP Removal Rates'!$A$3:$A$32,0),0))*'(STEP 1) Baseline Conditions'!$B$9*(E17/100)</f>
        <v>9.4710000000000003E-3</v>
      </c>
      <c r="E17" s="99">
        <v>10</v>
      </c>
      <c r="F17" s="72" t="s">
        <v>313</v>
      </c>
      <c r="H17" s="101" t="b">
        <v>0</v>
      </c>
    </row>
    <row r="18" spans="1:8" s="56" customFormat="1" ht="15.75" x14ac:dyDescent="0.25">
      <c r="B18" s="118" t="s">
        <v>320</v>
      </c>
      <c r="C18" s="136">
        <f>'(STEP 1) Baseline Conditions'!B16</f>
        <v>2.08</v>
      </c>
      <c r="D18" s="136">
        <f>'(STEP 1) Baseline Conditions'!B17</f>
        <v>0.43379578914861372</v>
      </c>
      <c r="E18" s="75"/>
      <c r="F18" s="72"/>
      <c r="H18" s="100"/>
    </row>
    <row r="19" spans="1:8" ht="15.75" x14ac:dyDescent="0.25">
      <c r="B19" s="80" t="s">
        <v>310</v>
      </c>
      <c r="C19" s="137">
        <f>SUM(IF(H6,C6,0),IF(H7,C7,0), IF(H8,C8,0),IF(H9,C9,0),IF(H10,C10,0), IF(H11,C11,0), IF(H16,C16,0), IF(H17,C17,0), IF(H12,C12,0), IF(H15,C15,0), IF(H13,C13,0), IF(H14,C14,0))</f>
        <v>2.08</v>
      </c>
      <c r="D19" s="137">
        <f>SUM(IF(H6,D6,0),IF(H7,D7,0), IF(H8,D8,0),IF(H9,D9,0),IF(H10,D10,0), IF(H11,D11,0), IF(H16,D16,0), IF(H17,D17,0), IF(H12,D12,0), IF(H15,D15,0), IF(H13,D13,0), IF(H14,D14,0))</f>
        <v>0.34707729139449095</v>
      </c>
      <c r="E19" s="74"/>
      <c r="F19" s="72"/>
      <c r="H19" s="100"/>
    </row>
    <row r="20" spans="1:8" ht="16.5" thickBot="1" x14ac:dyDescent="0.3">
      <c r="B20" s="81" t="s">
        <v>286</v>
      </c>
      <c r="C20" s="82" t="str">
        <f>IF(C11&gt;0, IF(C19&gt;='(STEP 1) Baseline Conditions'!B16,"YES","NO"), "NO")</f>
        <v>YES</v>
      </c>
      <c r="D20" s="82" t="str">
        <f>IF(D11&gt;0,IF(D19&gt;='(STEP 1) Baseline Conditions'!B17,"YES","NO"), "NO")</f>
        <v>NO</v>
      </c>
      <c r="E20" s="73"/>
      <c r="F20" s="72"/>
      <c r="H20" s="100"/>
    </row>
    <row r="22" spans="1:8" ht="48.75" customHeight="1" x14ac:dyDescent="0.25">
      <c r="B22" s="165" t="s">
        <v>380</v>
      </c>
      <c r="C22" s="165"/>
      <c r="D22" s="165"/>
    </row>
    <row r="26" spans="1:8" ht="107.25" customHeight="1" x14ac:dyDescent="0.25"/>
  </sheetData>
  <sheetProtection password="C2EC" sheet="1" objects="1" scenarios="1" selectLockedCells="1"/>
  <mergeCells count="6">
    <mergeCell ref="B22:D22"/>
    <mergeCell ref="B4:D4"/>
    <mergeCell ref="B1:D1"/>
    <mergeCell ref="B2:D3"/>
    <mergeCell ref="A6:A10"/>
    <mergeCell ref="A11:A17"/>
  </mergeCells>
  <conditionalFormatting sqref="C20">
    <cfRule type="expression" dxfId="4" priority="3">
      <formula>$C$20="No"</formula>
    </cfRule>
    <cfRule type="expression" dxfId="3" priority="5">
      <formula>$C$20="Yes"</formula>
    </cfRule>
  </conditionalFormatting>
  <conditionalFormatting sqref="D20">
    <cfRule type="expression" dxfId="2" priority="2">
      <formula>$D$20="No"</formula>
    </cfRule>
    <cfRule type="expression" dxfId="1" priority="4">
      <formula>$D$20="Yes"</formula>
    </cfRule>
  </conditionalFormatting>
  <conditionalFormatting sqref="C11:E11 C20:D20">
    <cfRule type="expression" dxfId="0" priority="1">
      <formula>$E$11=0</formula>
    </cfRule>
  </conditionalFormatting>
  <dataValidations count="1">
    <dataValidation type="whole" allowBlank="1" showInputMessage="1" showErrorMessage="1" sqref="E12:E17">
      <formula1>0</formula1>
      <formula2>100</formula2>
    </dataValidation>
  </dataValidations>
  <pageMargins left="0.7" right="0.7" top="0.75" bottom="0.75" header="0.3" footer="0.3"/>
  <pageSetup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4579" r:id="rId4" name="Check Box 3">
              <controlPr locked="0" defaultSize="0" autoFill="0" autoLine="0" autoPict="0" altText="">
                <anchor moveWithCells="1">
                  <from>
                    <xdr:col>1</xdr:col>
                    <xdr:colOff>2924175</xdr:colOff>
                    <xdr:row>5</xdr:row>
                    <xdr:rowOff>0</xdr:rowOff>
                  </from>
                  <to>
                    <xdr:col>1</xdr:col>
                    <xdr:colOff>3114675</xdr:colOff>
                    <xdr:row>6</xdr:row>
                    <xdr:rowOff>190500</xdr:rowOff>
                  </to>
                </anchor>
              </controlPr>
            </control>
          </mc:Choice>
        </mc:AlternateContent>
        <mc:AlternateContent xmlns:mc="http://schemas.openxmlformats.org/markup-compatibility/2006">
          <mc:Choice Requires="x14">
            <control shapeId="24580" r:id="rId5" name="Check Box 4">
              <controlPr locked="0" defaultSize="0" autoFill="0" autoLine="0" autoPict="0" altText="">
                <anchor moveWithCells="1">
                  <from>
                    <xdr:col>1</xdr:col>
                    <xdr:colOff>2924175</xdr:colOff>
                    <xdr:row>5</xdr:row>
                    <xdr:rowOff>0</xdr:rowOff>
                  </from>
                  <to>
                    <xdr:col>1</xdr:col>
                    <xdr:colOff>3114675</xdr:colOff>
                    <xdr:row>6</xdr:row>
                    <xdr:rowOff>190500</xdr:rowOff>
                  </to>
                </anchor>
              </controlPr>
            </control>
          </mc:Choice>
        </mc:AlternateContent>
        <mc:AlternateContent xmlns:mc="http://schemas.openxmlformats.org/markup-compatibility/2006">
          <mc:Choice Requires="x14">
            <control shapeId="24581" r:id="rId6" name="Check Box 5">
              <controlPr locked="0" defaultSize="0" autoFill="0" autoLine="0" autoPict="0" altText="">
                <anchor moveWithCells="1">
                  <from>
                    <xdr:col>1</xdr:col>
                    <xdr:colOff>2924175</xdr:colOff>
                    <xdr:row>7</xdr:row>
                    <xdr:rowOff>0</xdr:rowOff>
                  </from>
                  <to>
                    <xdr:col>1</xdr:col>
                    <xdr:colOff>3114675</xdr:colOff>
                    <xdr:row>7</xdr:row>
                    <xdr:rowOff>190500</xdr:rowOff>
                  </to>
                </anchor>
              </controlPr>
            </control>
          </mc:Choice>
        </mc:AlternateContent>
        <mc:AlternateContent xmlns:mc="http://schemas.openxmlformats.org/markup-compatibility/2006">
          <mc:Choice Requires="x14">
            <control shapeId="24582" r:id="rId7" name="Check Box 6">
              <controlPr locked="0" defaultSize="0" autoFill="0" autoLine="0" autoPict="0" altText="">
                <anchor moveWithCells="1">
                  <from>
                    <xdr:col>1</xdr:col>
                    <xdr:colOff>2924175</xdr:colOff>
                    <xdr:row>8</xdr:row>
                    <xdr:rowOff>0</xdr:rowOff>
                  </from>
                  <to>
                    <xdr:col>1</xdr:col>
                    <xdr:colOff>3114675</xdr:colOff>
                    <xdr:row>8</xdr:row>
                    <xdr:rowOff>190500</xdr:rowOff>
                  </to>
                </anchor>
              </controlPr>
            </control>
          </mc:Choice>
        </mc:AlternateContent>
        <mc:AlternateContent xmlns:mc="http://schemas.openxmlformats.org/markup-compatibility/2006">
          <mc:Choice Requires="x14">
            <control shapeId="24583" r:id="rId8" name="Check Box 7">
              <controlPr locked="0" defaultSize="0" autoFill="0" autoLine="0" autoPict="0" altText="">
                <anchor moveWithCells="1">
                  <from>
                    <xdr:col>1</xdr:col>
                    <xdr:colOff>2924175</xdr:colOff>
                    <xdr:row>9</xdr:row>
                    <xdr:rowOff>0</xdr:rowOff>
                  </from>
                  <to>
                    <xdr:col>1</xdr:col>
                    <xdr:colOff>3114675</xdr:colOff>
                    <xdr:row>9</xdr:row>
                    <xdr:rowOff>190500</xdr:rowOff>
                  </to>
                </anchor>
              </controlPr>
            </control>
          </mc:Choice>
        </mc:AlternateContent>
        <mc:AlternateContent xmlns:mc="http://schemas.openxmlformats.org/markup-compatibility/2006">
          <mc:Choice Requires="x14">
            <control shapeId="24584" r:id="rId9" name="Check Box 8">
              <controlPr locked="0" defaultSize="0" autoFill="0" autoLine="0" autoPict="0" altText="">
                <anchor moveWithCells="1">
                  <from>
                    <xdr:col>1</xdr:col>
                    <xdr:colOff>2924175</xdr:colOff>
                    <xdr:row>15</xdr:row>
                    <xdr:rowOff>0</xdr:rowOff>
                  </from>
                  <to>
                    <xdr:col>1</xdr:col>
                    <xdr:colOff>3114675</xdr:colOff>
                    <xdr:row>15</xdr:row>
                    <xdr:rowOff>190500</xdr:rowOff>
                  </to>
                </anchor>
              </controlPr>
            </control>
          </mc:Choice>
        </mc:AlternateContent>
        <mc:AlternateContent xmlns:mc="http://schemas.openxmlformats.org/markup-compatibility/2006">
          <mc:Choice Requires="x14">
            <control shapeId="24585" r:id="rId10" name="Check Box 9">
              <controlPr locked="0" defaultSize="0" autoFill="0" autoLine="0" autoPict="0" altText="">
                <anchor moveWithCells="1">
                  <from>
                    <xdr:col>1</xdr:col>
                    <xdr:colOff>2924175</xdr:colOff>
                    <xdr:row>10</xdr:row>
                    <xdr:rowOff>0</xdr:rowOff>
                  </from>
                  <to>
                    <xdr:col>1</xdr:col>
                    <xdr:colOff>3114675</xdr:colOff>
                    <xdr:row>10</xdr:row>
                    <xdr:rowOff>190500</xdr:rowOff>
                  </to>
                </anchor>
              </controlPr>
            </control>
          </mc:Choice>
        </mc:AlternateContent>
        <mc:AlternateContent xmlns:mc="http://schemas.openxmlformats.org/markup-compatibility/2006">
          <mc:Choice Requires="x14">
            <control shapeId="24586" r:id="rId11" name="Check Box 10">
              <controlPr locked="0" defaultSize="0" autoFill="0" autoLine="0" autoPict="0" altText="">
                <anchor moveWithCells="1">
                  <from>
                    <xdr:col>1</xdr:col>
                    <xdr:colOff>2924175</xdr:colOff>
                    <xdr:row>15</xdr:row>
                    <xdr:rowOff>0</xdr:rowOff>
                  </from>
                  <to>
                    <xdr:col>1</xdr:col>
                    <xdr:colOff>3114675</xdr:colOff>
                    <xdr:row>15</xdr:row>
                    <xdr:rowOff>190500</xdr:rowOff>
                  </to>
                </anchor>
              </controlPr>
            </control>
          </mc:Choice>
        </mc:AlternateContent>
        <mc:AlternateContent xmlns:mc="http://schemas.openxmlformats.org/markup-compatibility/2006">
          <mc:Choice Requires="x14">
            <control shapeId="24587" r:id="rId12" name="Check Box 11">
              <controlPr locked="0" defaultSize="0" autoFill="0" autoLine="0" autoPict="0" altText="">
                <anchor moveWithCells="1">
                  <from>
                    <xdr:col>1</xdr:col>
                    <xdr:colOff>2924175</xdr:colOff>
                    <xdr:row>16</xdr:row>
                    <xdr:rowOff>0</xdr:rowOff>
                  </from>
                  <to>
                    <xdr:col>1</xdr:col>
                    <xdr:colOff>3114675</xdr:colOff>
                    <xdr:row>16</xdr:row>
                    <xdr:rowOff>190500</xdr:rowOff>
                  </to>
                </anchor>
              </controlPr>
            </control>
          </mc:Choice>
        </mc:AlternateContent>
        <mc:AlternateContent xmlns:mc="http://schemas.openxmlformats.org/markup-compatibility/2006">
          <mc:Choice Requires="x14">
            <control shapeId="24588" r:id="rId13" name="Check Box 12">
              <controlPr defaultSize="0" autoFill="0" autoLine="0" autoPict="0" altText="">
                <anchor moveWithCells="1">
                  <from>
                    <xdr:col>1</xdr:col>
                    <xdr:colOff>2924175</xdr:colOff>
                    <xdr:row>10</xdr:row>
                    <xdr:rowOff>0</xdr:rowOff>
                  </from>
                  <to>
                    <xdr:col>1</xdr:col>
                    <xdr:colOff>3114675</xdr:colOff>
                    <xdr:row>10</xdr:row>
                    <xdr:rowOff>190500</xdr:rowOff>
                  </to>
                </anchor>
              </controlPr>
            </control>
          </mc:Choice>
        </mc:AlternateContent>
        <mc:AlternateContent xmlns:mc="http://schemas.openxmlformats.org/markup-compatibility/2006">
          <mc:Choice Requires="x14">
            <control shapeId="24589" r:id="rId14" name="Check Box 13">
              <controlPr locked="0" defaultSize="0" autoFill="0" autoLine="0" autoPict="0" altText="">
                <anchor moveWithCells="1">
                  <from>
                    <xdr:col>1</xdr:col>
                    <xdr:colOff>2924175</xdr:colOff>
                    <xdr:row>11</xdr:row>
                    <xdr:rowOff>0</xdr:rowOff>
                  </from>
                  <to>
                    <xdr:col>1</xdr:col>
                    <xdr:colOff>3114675</xdr:colOff>
                    <xdr:row>11</xdr:row>
                    <xdr:rowOff>190500</xdr:rowOff>
                  </to>
                </anchor>
              </controlPr>
            </control>
          </mc:Choice>
        </mc:AlternateContent>
        <mc:AlternateContent xmlns:mc="http://schemas.openxmlformats.org/markup-compatibility/2006">
          <mc:Choice Requires="x14">
            <control shapeId="24590" r:id="rId15" name="Check Box 14">
              <controlPr defaultSize="0" autoFill="0" autoLine="0" autoPict="0" altText="">
                <anchor moveWithCells="1">
                  <from>
                    <xdr:col>1</xdr:col>
                    <xdr:colOff>2924175</xdr:colOff>
                    <xdr:row>12</xdr:row>
                    <xdr:rowOff>0</xdr:rowOff>
                  </from>
                  <to>
                    <xdr:col>1</xdr:col>
                    <xdr:colOff>3114675</xdr:colOff>
                    <xdr:row>12</xdr:row>
                    <xdr:rowOff>190500</xdr:rowOff>
                  </to>
                </anchor>
              </controlPr>
            </control>
          </mc:Choice>
        </mc:AlternateContent>
        <mc:AlternateContent xmlns:mc="http://schemas.openxmlformats.org/markup-compatibility/2006">
          <mc:Choice Requires="x14">
            <control shapeId="24591" r:id="rId16" name="Check Box 15">
              <controlPr locked="0" defaultSize="0" autoFill="0" autoLine="0" autoPict="0" altText="">
                <anchor moveWithCells="1">
                  <from>
                    <xdr:col>1</xdr:col>
                    <xdr:colOff>2924175</xdr:colOff>
                    <xdr:row>12</xdr:row>
                    <xdr:rowOff>0</xdr:rowOff>
                  </from>
                  <to>
                    <xdr:col>1</xdr:col>
                    <xdr:colOff>3114675</xdr:colOff>
                    <xdr:row>12</xdr:row>
                    <xdr:rowOff>190500</xdr:rowOff>
                  </to>
                </anchor>
              </controlPr>
            </control>
          </mc:Choice>
        </mc:AlternateContent>
        <mc:AlternateContent xmlns:mc="http://schemas.openxmlformats.org/markup-compatibility/2006">
          <mc:Choice Requires="x14">
            <control shapeId="24592" r:id="rId17" name="Check Box 16">
              <controlPr locked="0" defaultSize="0" autoFill="0" autoLine="0" autoPict="0" altText="">
                <anchor moveWithCells="1">
                  <from>
                    <xdr:col>1</xdr:col>
                    <xdr:colOff>2924175</xdr:colOff>
                    <xdr:row>13</xdr:row>
                    <xdr:rowOff>0</xdr:rowOff>
                  </from>
                  <to>
                    <xdr:col>1</xdr:col>
                    <xdr:colOff>3114675</xdr:colOff>
                    <xdr:row>13</xdr:row>
                    <xdr:rowOff>190500</xdr:rowOff>
                  </to>
                </anchor>
              </controlPr>
            </control>
          </mc:Choice>
        </mc:AlternateContent>
        <mc:AlternateContent xmlns:mc="http://schemas.openxmlformats.org/markup-compatibility/2006">
          <mc:Choice Requires="x14">
            <control shapeId="24594" r:id="rId18" name="Check Box 18">
              <controlPr locked="0" defaultSize="0" autoFill="0" autoLine="0" autoPict="0" altText="">
                <anchor moveWithCells="1">
                  <from>
                    <xdr:col>1</xdr:col>
                    <xdr:colOff>2924175</xdr:colOff>
                    <xdr:row>14</xdr:row>
                    <xdr:rowOff>0</xdr:rowOff>
                  </from>
                  <to>
                    <xdr:col>1</xdr:col>
                    <xdr:colOff>3114675</xdr:colOff>
                    <xdr:row>14</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'Dosskey Coefficients'!$T$2:$T$4</xm:f>
          </x14:formula1>
          <xm:sqref>E11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D1:H4"/>
  <sheetViews>
    <sheetView showGridLines="0" workbookViewId="0">
      <selection activeCell="E1" sqref="E1:H1"/>
    </sheetView>
  </sheetViews>
  <sheetFormatPr defaultRowHeight="15" x14ac:dyDescent="0.25"/>
  <cols>
    <col min="1" max="1" width="12" bestFit="1" customWidth="1"/>
    <col min="4" max="4" width="12" bestFit="1" customWidth="1"/>
  </cols>
  <sheetData>
    <row r="1" spans="4:8" s="56" customFormat="1" ht="18.75" x14ac:dyDescent="0.3">
      <c r="D1" s="125" t="s">
        <v>385</v>
      </c>
      <c r="E1" s="183"/>
      <c r="F1" s="183"/>
      <c r="G1" s="183"/>
      <c r="H1" s="183"/>
    </row>
    <row r="2" spans="4:8" s="56" customFormat="1" ht="18.75" x14ac:dyDescent="0.3">
      <c r="D2" s="125" t="s">
        <v>386</v>
      </c>
      <c r="E2" s="183"/>
      <c r="F2" s="183"/>
      <c r="G2" s="183"/>
      <c r="H2" s="183"/>
    </row>
    <row r="3" spans="4:8" s="56" customFormat="1" ht="18.75" x14ac:dyDescent="0.3">
      <c r="D3" s="125" t="s">
        <v>387</v>
      </c>
      <c r="E3" s="183"/>
      <c r="F3" s="183"/>
      <c r="G3" s="183"/>
      <c r="H3" s="183"/>
    </row>
    <row r="4" spans="4:8" s="56" customFormat="1" ht="18.75" x14ac:dyDescent="0.3">
      <c r="D4" s="125" t="s">
        <v>388</v>
      </c>
      <c r="E4" s="183"/>
      <c r="F4" s="183"/>
      <c r="G4" s="183"/>
      <c r="H4" s="183"/>
    </row>
  </sheetData>
  <mergeCells count="4">
    <mergeCell ref="E1:H1"/>
    <mergeCell ref="E2:H2"/>
    <mergeCell ref="E3:H3"/>
    <mergeCell ref="E4:H4"/>
  </mergeCells>
  <pageMargins left="0.7" right="0.7" top="0.75" bottom="0.75" header="0.3" footer="0.3"/>
  <pageSetup scale="72"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3"/>
  <sheetViews>
    <sheetView workbookViewId="0">
      <selection activeCell="C9" sqref="C9"/>
    </sheetView>
  </sheetViews>
  <sheetFormatPr defaultRowHeight="15" x14ac:dyDescent="0.25"/>
  <cols>
    <col min="1" max="1" width="31.5703125" bestFit="1" customWidth="1"/>
    <col min="2" max="2" width="30.140625" bestFit="1" customWidth="1"/>
    <col min="3" max="3" width="26.140625" bestFit="1" customWidth="1"/>
    <col min="4" max="4" width="21.42578125" bestFit="1" customWidth="1"/>
    <col min="7" max="7" width="29" style="120" bestFit="1" customWidth="1"/>
    <col min="8" max="8" width="23" style="120" bestFit="1" customWidth="1"/>
    <col min="9" max="9" width="25.7109375" style="120" bestFit="1" customWidth="1"/>
    <col min="10" max="10" width="26.5703125" style="120" bestFit="1" customWidth="1"/>
    <col min="11" max="11" width="28.28515625" style="120" bestFit="1" customWidth="1"/>
    <col min="12" max="12" width="18.28515625" bestFit="1" customWidth="1"/>
  </cols>
  <sheetData>
    <row r="1" spans="1:11" ht="19.5" thickBot="1" x14ac:dyDescent="0.35">
      <c r="A1" s="66" t="s">
        <v>287</v>
      </c>
      <c r="B1" s="66" t="s">
        <v>183</v>
      </c>
      <c r="C1" s="66" t="s">
        <v>0</v>
      </c>
      <c r="D1" s="66" t="s">
        <v>1</v>
      </c>
      <c r="G1" s="184" t="s">
        <v>394</v>
      </c>
      <c r="H1" s="184"/>
      <c r="I1" s="184"/>
      <c r="J1" s="184"/>
      <c r="K1" s="184"/>
    </row>
    <row r="2" spans="1:11" x14ac:dyDescent="0.25">
      <c r="A2" s="65" t="s">
        <v>2</v>
      </c>
      <c r="B2" s="62" t="s">
        <v>3</v>
      </c>
      <c r="C2" s="61" t="s">
        <v>268</v>
      </c>
      <c r="D2" s="61" t="s">
        <v>5</v>
      </c>
    </row>
    <row r="3" spans="1:11" ht="15.75" x14ac:dyDescent="0.25">
      <c r="A3" s="64" t="s">
        <v>390</v>
      </c>
      <c r="B3" s="63" t="s">
        <v>391</v>
      </c>
      <c r="C3" s="60" t="s">
        <v>392</v>
      </c>
      <c r="D3" s="60" t="s">
        <v>393</v>
      </c>
      <c r="G3" s="124" t="s">
        <v>48</v>
      </c>
      <c r="H3" s="124" t="s">
        <v>70</v>
      </c>
      <c r="I3" s="124" t="s">
        <v>73</v>
      </c>
      <c r="J3" s="124" t="s">
        <v>383</v>
      </c>
      <c r="K3" s="124" t="s">
        <v>384</v>
      </c>
    </row>
    <row r="4" spans="1:11" x14ac:dyDescent="0.25">
      <c r="A4" s="64" t="s">
        <v>6</v>
      </c>
      <c r="B4" s="63" t="s">
        <v>7</v>
      </c>
      <c r="C4" s="60" t="s">
        <v>8</v>
      </c>
      <c r="D4" s="60" t="s">
        <v>9</v>
      </c>
      <c r="G4" s="120" t="s">
        <v>18</v>
      </c>
      <c r="H4" s="123">
        <v>37.548168745985144</v>
      </c>
      <c r="I4" s="120">
        <v>20</v>
      </c>
      <c r="J4" s="120">
        <v>60.160734680164097</v>
      </c>
      <c r="K4" s="120">
        <v>75.200918350205114</v>
      </c>
    </row>
    <row r="5" spans="1:11" x14ac:dyDescent="0.25">
      <c r="A5" s="64" t="s">
        <v>10</v>
      </c>
      <c r="B5" s="63" t="s">
        <v>7</v>
      </c>
      <c r="C5" s="60" t="s">
        <v>8</v>
      </c>
      <c r="D5" s="60" t="s">
        <v>9</v>
      </c>
      <c r="G5" s="120" t="s">
        <v>19</v>
      </c>
      <c r="H5" s="123">
        <v>32.489917379875038</v>
      </c>
      <c r="I5" s="120">
        <v>20</v>
      </c>
      <c r="J5" s="120">
        <v>25.263487818932795</v>
      </c>
      <c r="K5" s="120">
        <v>31.579359773665992</v>
      </c>
    </row>
    <row r="6" spans="1:11" x14ac:dyDescent="0.25">
      <c r="A6" s="64" t="s">
        <v>11</v>
      </c>
      <c r="B6" s="63" t="s">
        <v>12</v>
      </c>
      <c r="C6" s="60" t="s">
        <v>13</v>
      </c>
      <c r="D6" s="60" t="s">
        <v>14</v>
      </c>
      <c r="G6" s="120" t="s">
        <v>20</v>
      </c>
      <c r="H6" s="123">
        <v>33.866291845135898</v>
      </c>
      <c r="I6" s="120">
        <v>20</v>
      </c>
      <c r="J6" s="120">
        <v>66.114526790114283</v>
      </c>
      <c r="K6" s="120">
        <v>82.64315848764285</v>
      </c>
    </row>
    <row r="7" spans="1:11" x14ac:dyDescent="0.25">
      <c r="A7" s="64" t="s">
        <v>15</v>
      </c>
      <c r="B7" s="63" t="s">
        <v>16</v>
      </c>
      <c r="C7" s="60" t="s">
        <v>17</v>
      </c>
      <c r="D7" s="60" t="s">
        <v>17</v>
      </c>
      <c r="G7" s="120" t="s">
        <v>21</v>
      </c>
      <c r="H7" s="123">
        <v>43.482259630329871</v>
      </c>
      <c r="I7" s="120">
        <v>20</v>
      </c>
      <c r="J7" s="120">
        <v>49.950460888986299</v>
      </c>
      <c r="K7" s="120">
        <v>62.438076111232874</v>
      </c>
    </row>
    <row r="8" spans="1:11" x14ac:dyDescent="0.25">
      <c r="G8" s="120" t="s">
        <v>22</v>
      </c>
      <c r="H8" s="123">
        <v>16.435578043561748</v>
      </c>
      <c r="I8" s="120">
        <v>20</v>
      </c>
      <c r="J8" s="120">
        <v>67.987217440620356</v>
      </c>
      <c r="K8" s="120">
        <v>84.984021800775452</v>
      </c>
    </row>
    <row r="9" spans="1:11" x14ac:dyDescent="0.25">
      <c r="G9" s="120" t="s">
        <v>23</v>
      </c>
      <c r="H9" s="123">
        <v>37.036593946448811</v>
      </c>
      <c r="I9" s="120">
        <v>20</v>
      </c>
      <c r="J9" s="120">
        <v>54.888883699856528</v>
      </c>
      <c r="K9" s="120">
        <v>68.611104624820655</v>
      </c>
    </row>
    <row r="10" spans="1:11" x14ac:dyDescent="0.25">
      <c r="G10" s="120" t="s">
        <v>24</v>
      </c>
      <c r="H10" s="123">
        <v>23.288418920447924</v>
      </c>
      <c r="I10" s="120">
        <v>20</v>
      </c>
      <c r="J10" s="120">
        <v>70.345289009035042</v>
      </c>
      <c r="K10" s="120">
        <v>87.931611261293796</v>
      </c>
    </row>
    <row r="11" spans="1:11" x14ac:dyDescent="0.25">
      <c r="G11" s="120" t="s">
        <v>25</v>
      </c>
      <c r="H11" s="123">
        <v>33.073818628544494</v>
      </c>
      <c r="I11" s="120">
        <v>20</v>
      </c>
      <c r="J11" s="120">
        <v>76.674261704157914</v>
      </c>
      <c r="K11" s="120">
        <v>95.842827130197392</v>
      </c>
    </row>
    <row r="12" spans="1:11" ht="15" customHeight="1" x14ac:dyDescent="0.25">
      <c r="A12" s="185" t="s">
        <v>363</v>
      </c>
      <c r="B12" s="185"/>
      <c r="C12" s="185"/>
      <c r="D12" s="185"/>
      <c r="G12" s="120" t="s">
        <v>26</v>
      </c>
      <c r="H12" s="123">
        <v>29.869479602384459</v>
      </c>
      <c r="I12" s="120">
        <v>20</v>
      </c>
      <c r="J12" s="120">
        <v>64.46048827892497</v>
      </c>
      <c r="K12" s="120">
        <v>80.575610348656213</v>
      </c>
    </row>
    <row r="13" spans="1:11" x14ac:dyDescent="0.25">
      <c r="A13" s="185"/>
      <c r="B13" s="185"/>
      <c r="C13" s="185"/>
      <c r="D13" s="185"/>
      <c r="G13" s="120" t="s">
        <v>27</v>
      </c>
      <c r="H13" s="123">
        <v>15.18777849409498</v>
      </c>
      <c r="I13" s="120">
        <v>60</v>
      </c>
      <c r="J13" s="120">
        <v>71.086590140481633</v>
      </c>
      <c r="K13" s="120">
        <v>88.858237675602041</v>
      </c>
    </row>
    <row r="14" spans="1:11" x14ac:dyDescent="0.25">
      <c r="A14" s="185"/>
      <c r="B14" s="185"/>
      <c r="C14" s="185"/>
      <c r="D14" s="185"/>
      <c r="G14" s="120" t="s">
        <v>28</v>
      </c>
      <c r="H14" s="123">
        <v>18.638553239503384</v>
      </c>
      <c r="I14" s="120">
        <v>20</v>
      </c>
      <c r="J14" s="120">
        <v>48.604917312666302</v>
      </c>
      <c r="K14" s="120">
        <v>60.756146640832881</v>
      </c>
    </row>
    <row r="15" spans="1:11" x14ac:dyDescent="0.25">
      <c r="A15" s="185"/>
      <c r="B15" s="185"/>
      <c r="C15" s="185"/>
      <c r="D15" s="185"/>
      <c r="G15" s="120" t="s">
        <v>29</v>
      </c>
      <c r="H15" s="123">
        <v>26.9448444857093</v>
      </c>
      <c r="I15" s="120">
        <v>20</v>
      </c>
      <c r="J15" s="120">
        <v>70.920031321303568</v>
      </c>
      <c r="K15" s="120">
        <v>88.650039151629457</v>
      </c>
    </row>
    <row r="16" spans="1:11" x14ac:dyDescent="0.25">
      <c r="A16" s="185"/>
      <c r="B16" s="185"/>
      <c r="C16" s="185"/>
      <c r="D16" s="185"/>
      <c r="G16" s="120" t="s">
        <v>30</v>
      </c>
      <c r="H16" s="123">
        <v>23.697266350073978</v>
      </c>
      <c r="I16" s="120">
        <v>20</v>
      </c>
      <c r="J16" s="120">
        <v>65.439200624049732</v>
      </c>
      <c r="K16" s="120">
        <v>81.799000780062158</v>
      </c>
    </row>
    <row r="17" spans="1:11" x14ac:dyDescent="0.25">
      <c r="A17" s="185"/>
      <c r="B17" s="185"/>
      <c r="C17" s="185"/>
      <c r="D17" s="185"/>
      <c r="G17" s="120" t="s">
        <v>31</v>
      </c>
      <c r="H17" s="123">
        <v>33.945558739769993</v>
      </c>
      <c r="I17" s="120">
        <v>20</v>
      </c>
      <c r="J17" s="120">
        <v>16.995351416408958</v>
      </c>
      <c r="K17" s="120">
        <v>21.2441892705112</v>
      </c>
    </row>
    <row r="18" spans="1:11" x14ac:dyDescent="0.25">
      <c r="A18" s="185"/>
      <c r="B18" s="185"/>
      <c r="C18" s="185"/>
      <c r="D18" s="185"/>
      <c r="G18" s="120" t="s">
        <v>32</v>
      </c>
      <c r="H18" s="123">
        <v>20.522404994048429</v>
      </c>
      <c r="I18" s="120">
        <v>20</v>
      </c>
      <c r="J18" s="120">
        <v>75.582841351707884</v>
      </c>
      <c r="K18" s="120">
        <v>94.478551689634855</v>
      </c>
    </row>
    <row r="19" spans="1:11" x14ac:dyDescent="0.25">
      <c r="G19" s="120" t="s">
        <v>33</v>
      </c>
      <c r="H19" s="123">
        <v>33.45837256059437</v>
      </c>
      <c r="I19" s="120">
        <v>20</v>
      </c>
      <c r="J19" s="120">
        <v>71.866206248154541</v>
      </c>
      <c r="K19" s="120">
        <v>89.832757810193172</v>
      </c>
    </row>
    <row r="20" spans="1:11" x14ac:dyDescent="0.25">
      <c r="G20" s="120" t="s">
        <v>34</v>
      </c>
      <c r="H20" s="123">
        <v>32.178613130221855</v>
      </c>
      <c r="I20" s="120">
        <v>20</v>
      </c>
      <c r="J20" s="120">
        <v>66.637435847889833</v>
      </c>
      <c r="K20" s="120">
        <v>83.296794809862291</v>
      </c>
    </row>
    <row r="21" spans="1:11" x14ac:dyDescent="0.25">
      <c r="G21" s="120" t="s">
        <v>35</v>
      </c>
      <c r="H21" s="123">
        <v>29.200872625130224</v>
      </c>
      <c r="I21" s="120">
        <v>20</v>
      </c>
      <c r="J21" s="120">
        <v>43.454206781649845</v>
      </c>
      <c r="K21" s="120">
        <v>54.317758477062306</v>
      </c>
    </row>
    <row r="22" spans="1:11" x14ac:dyDescent="0.25">
      <c r="G22" s="120" t="s">
        <v>36</v>
      </c>
      <c r="H22" s="123">
        <v>32.619374177347623</v>
      </c>
      <c r="I22" s="120">
        <v>20</v>
      </c>
      <c r="J22" s="120">
        <v>55.449118241636718</v>
      </c>
      <c r="K22" s="120">
        <v>69.311397802045903</v>
      </c>
    </row>
    <row r="23" spans="1:11" x14ac:dyDescent="0.25">
      <c r="G23" s="120" t="s">
        <v>37</v>
      </c>
      <c r="H23" s="123">
        <v>32.008945744801103</v>
      </c>
      <c r="I23" s="120">
        <v>20</v>
      </c>
      <c r="J23" s="120">
        <v>59.863801437830993</v>
      </c>
      <c r="K23" s="120">
        <v>74.829751797288736</v>
      </c>
    </row>
    <row r="24" spans="1:11" x14ac:dyDescent="0.25">
      <c r="G24" s="120" t="s">
        <v>38</v>
      </c>
      <c r="H24" s="123">
        <v>35.542744246364407</v>
      </c>
      <c r="I24" s="120">
        <v>20</v>
      </c>
      <c r="J24" s="120">
        <v>57.242839799225592</v>
      </c>
      <c r="K24" s="120">
        <v>71.553549749031987</v>
      </c>
    </row>
    <row r="25" spans="1:11" x14ac:dyDescent="0.25">
      <c r="G25" s="120" t="s">
        <v>39</v>
      </c>
      <c r="H25" s="123">
        <v>36.289125055097138</v>
      </c>
      <c r="I25" s="120">
        <v>20</v>
      </c>
      <c r="J25" s="120">
        <v>52.862256410125298</v>
      </c>
      <c r="K25" s="120">
        <v>66.077820512656615</v>
      </c>
    </row>
    <row r="26" spans="1:11" x14ac:dyDescent="0.25">
      <c r="G26" s="120" t="s">
        <v>40</v>
      </c>
      <c r="H26" s="123">
        <v>32.863598657297686</v>
      </c>
      <c r="I26" s="120">
        <v>20</v>
      </c>
      <c r="J26" s="120">
        <v>64.903295181959308</v>
      </c>
      <c r="K26" s="120">
        <v>81.129118977449139</v>
      </c>
    </row>
    <row r="27" spans="1:11" x14ac:dyDescent="0.25">
      <c r="G27" s="120" t="s">
        <v>41</v>
      </c>
      <c r="H27" s="123">
        <v>28.543658813407408</v>
      </c>
      <c r="I27" s="120">
        <v>20</v>
      </c>
      <c r="J27" s="120">
        <v>80.430523182657808</v>
      </c>
      <c r="K27" s="120">
        <v>100.53815397832226</v>
      </c>
    </row>
    <row r="28" spans="1:11" x14ac:dyDescent="0.25">
      <c r="G28" s="120" t="s">
        <v>42</v>
      </c>
      <c r="H28" s="123">
        <v>18.824660793730857</v>
      </c>
      <c r="I28" s="120">
        <v>20</v>
      </c>
      <c r="J28" s="120">
        <v>65.084864936234851</v>
      </c>
      <c r="K28" s="120">
        <v>81.356081170293564</v>
      </c>
    </row>
    <row r="29" spans="1:11" x14ac:dyDescent="0.25">
      <c r="G29" s="120" t="s">
        <v>43</v>
      </c>
      <c r="H29" s="123">
        <v>20.35298257628682</v>
      </c>
      <c r="I29" s="120">
        <v>20</v>
      </c>
      <c r="J29" s="120">
        <v>83.258184841461798</v>
      </c>
      <c r="K29" s="120">
        <v>104.07273105182725</v>
      </c>
    </row>
    <row r="30" spans="1:11" x14ac:dyDescent="0.25">
      <c r="G30" s="120" t="s">
        <v>44</v>
      </c>
      <c r="H30" s="123">
        <v>28.813635520596907</v>
      </c>
      <c r="I30" s="120">
        <v>20</v>
      </c>
      <c r="J30" s="120">
        <v>69.444585005612524</v>
      </c>
      <c r="K30" s="120">
        <v>86.805731257015651</v>
      </c>
    </row>
    <row r="31" spans="1:11" x14ac:dyDescent="0.25">
      <c r="G31" s="120" t="s">
        <v>45</v>
      </c>
      <c r="H31" s="123">
        <v>18.242554052203719</v>
      </c>
      <c r="I31" s="120">
        <v>20</v>
      </c>
      <c r="J31" s="120">
        <v>69.054285407797181</v>
      </c>
      <c r="K31" s="120">
        <v>86.317856759746476</v>
      </c>
    </row>
    <row r="32" spans="1:11" x14ac:dyDescent="0.25">
      <c r="G32" s="120" t="s">
        <v>46</v>
      </c>
      <c r="H32" s="123">
        <v>36.485200618852097</v>
      </c>
      <c r="I32" s="120">
        <v>20</v>
      </c>
      <c r="J32" s="120">
        <v>71.338409804179776</v>
      </c>
      <c r="K32" s="120">
        <v>89.17301225522472</v>
      </c>
    </row>
    <row r="33" spans="7:11" x14ac:dyDescent="0.25">
      <c r="G33" s="120" t="s">
        <v>47</v>
      </c>
      <c r="H33" s="123">
        <v>31.20078140780679</v>
      </c>
      <c r="I33" s="120">
        <v>20</v>
      </c>
      <c r="J33" s="120">
        <v>72.943326453438388</v>
      </c>
      <c r="K33" s="120">
        <v>91.179158066797982</v>
      </c>
    </row>
  </sheetData>
  <sheetProtection password="C2EC" sheet="1" objects="1" scenarios="1" selectLockedCells="1" selectUnlockedCells="1"/>
  <mergeCells count="2">
    <mergeCell ref="G1:K1"/>
    <mergeCell ref="A12:D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2" tint="-0.89999084444715716"/>
  </sheetPr>
  <dimension ref="A1:AC43"/>
  <sheetViews>
    <sheetView zoomScale="85" zoomScaleNormal="85" workbookViewId="0">
      <selection activeCell="V32" sqref="V32"/>
    </sheetView>
  </sheetViews>
  <sheetFormatPr defaultRowHeight="15" x14ac:dyDescent="0.25"/>
  <cols>
    <col min="1" max="1" width="37.140625" bestFit="1" customWidth="1"/>
    <col min="2" max="3" width="9.140625" customWidth="1"/>
  </cols>
  <sheetData>
    <row r="1" spans="1:29" ht="31.5" customHeight="1" x14ac:dyDescent="0.25">
      <c r="A1" s="7"/>
      <c r="B1" s="187" t="s">
        <v>133</v>
      </c>
      <c r="C1" s="187"/>
      <c r="D1" s="187" t="s">
        <v>134</v>
      </c>
      <c r="E1" s="187"/>
      <c r="F1" s="187" t="s">
        <v>135</v>
      </c>
      <c r="G1" s="187"/>
      <c r="H1" s="187" t="s">
        <v>136</v>
      </c>
      <c r="I1" s="187"/>
      <c r="J1" s="187" t="s">
        <v>375</v>
      </c>
      <c r="K1" s="187"/>
      <c r="L1" s="187" t="s">
        <v>138</v>
      </c>
      <c r="M1" s="187"/>
      <c r="N1" s="187" t="s">
        <v>139</v>
      </c>
      <c r="O1" s="187"/>
      <c r="P1" s="187" t="s">
        <v>140</v>
      </c>
      <c r="Q1" s="187"/>
      <c r="R1" s="187" t="s">
        <v>141</v>
      </c>
      <c r="S1" s="187"/>
      <c r="T1" s="187" t="s">
        <v>142</v>
      </c>
      <c r="U1" s="187"/>
      <c r="V1" s="187" t="s">
        <v>143</v>
      </c>
      <c r="W1" s="187"/>
      <c r="X1" s="187" t="s">
        <v>144</v>
      </c>
      <c r="Y1" s="187"/>
      <c r="Z1" s="187" t="s">
        <v>150</v>
      </c>
      <c r="AA1" s="187"/>
      <c r="AB1" s="186" t="s">
        <v>193</v>
      </c>
      <c r="AC1" s="186"/>
    </row>
    <row r="2" spans="1:29" x14ac:dyDescent="0.25">
      <c r="A2" s="3" t="s">
        <v>48</v>
      </c>
      <c r="B2" s="3" t="s">
        <v>145</v>
      </c>
      <c r="C2" s="3" t="s">
        <v>146</v>
      </c>
      <c r="D2" s="3" t="s">
        <v>145</v>
      </c>
      <c r="E2" s="3" t="s">
        <v>146</v>
      </c>
      <c r="F2" s="3" t="s">
        <v>145</v>
      </c>
      <c r="G2" s="3" t="s">
        <v>146</v>
      </c>
      <c r="H2" s="3" t="s">
        <v>145</v>
      </c>
      <c r="I2" s="3" t="s">
        <v>146</v>
      </c>
      <c r="J2" s="3" t="s">
        <v>145</v>
      </c>
      <c r="K2" s="3" t="s">
        <v>146</v>
      </c>
      <c r="L2" s="3" t="s">
        <v>145</v>
      </c>
      <c r="M2" s="3" t="s">
        <v>146</v>
      </c>
      <c r="N2" s="3" t="s">
        <v>145</v>
      </c>
      <c r="O2" s="3" t="s">
        <v>146</v>
      </c>
      <c r="P2" s="3" t="s">
        <v>145</v>
      </c>
      <c r="Q2" s="3" t="s">
        <v>146</v>
      </c>
      <c r="R2" s="3" t="s">
        <v>145</v>
      </c>
      <c r="S2" s="3" t="s">
        <v>146</v>
      </c>
      <c r="T2" s="3" t="s">
        <v>145</v>
      </c>
      <c r="U2" s="3" t="s">
        <v>146</v>
      </c>
      <c r="V2" s="3" t="s">
        <v>145</v>
      </c>
      <c r="W2" s="3" t="s">
        <v>146</v>
      </c>
      <c r="X2" s="3" t="s">
        <v>145</v>
      </c>
      <c r="Y2" s="3" t="s">
        <v>146</v>
      </c>
      <c r="Z2" s="3" t="s">
        <v>145</v>
      </c>
      <c r="AA2" s="3" t="s">
        <v>146</v>
      </c>
      <c r="AB2" s="47" t="s">
        <v>145</v>
      </c>
      <c r="AC2" s="47" t="s">
        <v>146</v>
      </c>
    </row>
    <row r="3" spans="1:29" x14ac:dyDescent="0.25">
      <c r="A3" s="3" t="s">
        <v>87</v>
      </c>
      <c r="B3" s="45">
        <f>IF(INDEX('Dosskey Coefficients'!$N$2:$N$20,MATCH('(STEP 1) Baseline Conditions'!$B$14,'Dosskey Coefficients'!$K$2:$K$20,0),0)&lt;0,('BMP Suitability 01'!B3*'BMP Removal Rates'!$B$38)/100, 'BMP Suitability 01'!B3*'BMP Removal Rates'!$B$39/100)</f>
        <v>0</v>
      </c>
      <c r="C3" s="45">
        <f>IF(INDEX('Dosskey Coefficients'!$N$2:$N$20,MATCH('(STEP 1) Baseline Conditions'!$B$14,'Dosskey Coefficients'!$K$2:$K$20,0),0)&lt;0,('BMP Suitability 01'!C3*$C$38)/100, 'BMP Suitability 01'!C3*$C$39/100)</f>
        <v>0</v>
      </c>
      <c r="D3" s="45">
        <f>('BMP Suitability 01'!D3*'BMP Removal Rates'!$D$38)/100</f>
        <v>0.62</v>
      </c>
      <c r="E3" s="45">
        <f>('BMP Suitability 01'!E3*'BMP Removal Rates'!$E$38)/100</f>
        <v>0.38500000000000001</v>
      </c>
      <c r="F3" s="45">
        <f>('BMP Suitability 01'!F3*'BMP Removal Rates'!$F$38)/100</f>
        <v>0.4</v>
      </c>
      <c r="G3" s="45">
        <f>('BMP Suitability 01'!G3*'BMP Removal Rates'!$G$38)/100</f>
        <v>0.75</v>
      </c>
      <c r="H3" s="45">
        <f>('BMP Suitability 01'!H3*'BMP Removal Rates'!$H$38)/100</f>
        <v>0.95</v>
      </c>
      <c r="I3" s="45">
        <f>('BMP Suitability 01'!I3*'BMP Removal Rates'!$I$38)/100</f>
        <v>0.85</v>
      </c>
      <c r="J3" s="45">
        <f>('BMP Suitability 01'!J3*'BMP Removal Rates'!$J$38)/100</f>
        <v>0.9</v>
      </c>
      <c r="K3" s="45">
        <f>('BMP Suitability 01'!K3*'BMP Removal Rates'!$K$38)/100</f>
        <v>0.75</v>
      </c>
      <c r="L3" s="45">
        <f>('BMP Suitability 01'!L3*'BMP Removal Rates'!$L$38)/100</f>
        <v>0</v>
      </c>
      <c r="M3" s="45">
        <f>('BMP Suitability 01'!M3*'BMP Removal Rates'!$M$38)/100</f>
        <v>0</v>
      </c>
      <c r="N3" s="110">
        <f>IF('(STEP 1) Baseline Conditions'!$B$6="Poor",('BMP Suitability 01'!N3*'BMP Removal Rates'!N$41)/100, IF('(STEP 1) Baseline Conditions'!$B$6="Average", ('BMP Suitability 01'!N3*'BMP Removal Rates'!N$42)/100, IF('(STEP 1) Baseline Conditions'!$B$6="Best",('BMP Suitability 01'!N3*'BMP Removal Rates'!N$38)/100)))</f>
        <v>0.82</v>
      </c>
      <c r="O3" s="110">
        <f>IF('(STEP 1) Baseline Conditions'!$B$6="Poor",('BMP Suitability 01'!O3*'BMP Removal Rates'!O$41)/100, IF('(STEP 1) Baseline Conditions'!$B$6="Average", ('BMP Suitability 01'!O3*'BMP Removal Rates'!O$42)/100, IF('(STEP 1) Baseline Conditions'!$B$6="Best",('BMP Suitability 01'!O3*'BMP Removal Rates'!O$38)/100)))</f>
        <v>0.21</v>
      </c>
      <c r="P3" s="110">
        <f>IF('(STEP 1) Baseline Conditions'!$B$6="Poor",('BMP Suitability 01'!P3*'BMP Removal Rates'!P$41)/100, IF('(STEP 1) Baseline Conditions'!$B$6="Average", ('BMP Suitability 01'!P3*'BMP Removal Rates'!P$42)/100, IF('(STEP 1) Baseline Conditions'!$B$6="Best",('BMP Suitability 01'!P3*'BMP Removal Rates'!P$38)/100)))</f>
        <v>0</v>
      </c>
      <c r="Q3" s="110">
        <f>IF('(STEP 1) Baseline Conditions'!$B$6="Poor",('BMP Suitability 01'!Q3*'BMP Removal Rates'!Q$41)/100, IF('(STEP 1) Baseline Conditions'!$B$6="Average", ('BMP Suitability 01'!Q3*'BMP Removal Rates'!Q$42)/100, IF('(STEP 1) Baseline Conditions'!$B$6="Best",('BMP Suitability 01'!Q3*'BMP Removal Rates'!Q$38)/100)))</f>
        <v>0</v>
      </c>
      <c r="R3" s="110">
        <f>IF('(STEP 1) Baseline Conditions'!$B$6="Poor",('BMP Suitability 01'!R3*'BMP Removal Rates'!R$41)/100, IF('(STEP 1) Baseline Conditions'!$B$6="Average", ('BMP Suitability 01'!R3*'BMP Removal Rates'!R$42)/100, IF('(STEP 1) Baseline Conditions'!$B$6="Best",('BMP Suitability 01'!R3*'BMP Removal Rates'!R$38)/100)))</f>
        <v>0</v>
      </c>
      <c r="S3" s="110">
        <f>IF('(STEP 1) Baseline Conditions'!$B$6="Poor",('BMP Suitability 01'!S3*'BMP Removal Rates'!S$41)/100, IF('(STEP 1) Baseline Conditions'!$B$6="Average", ('BMP Suitability 01'!S3*'BMP Removal Rates'!S$42)/100, IF('(STEP 1) Baseline Conditions'!$B$6="Best",('BMP Suitability 01'!S3*'BMP Removal Rates'!S$38)/100)))</f>
        <v>0</v>
      </c>
      <c r="T3" s="110">
        <f>IF('(STEP 1) Baseline Conditions'!$B$6="Poor",('BMP Suitability 01'!T3*'BMP Removal Rates'!T$41)/100, IF('(STEP 1) Baseline Conditions'!$B$6="Average", ('BMP Suitability 01'!T3*'BMP Removal Rates'!T$42)/100, IF('(STEP 1) Baseline Conditions'!$B$6="Best",('BMP Suitability 01'!T3*'BMP Removal Rates'!T$38)/100)))</f>
        <v>0.79749999999999999</v>
      </c>
      <c r="U3" s="110">
        <f>IF('(STEP 1) Baseline Conditions'!$B$6="Poor",('BMP Suitability 01'!U3*'BMP Removal Rates'!U$41)/100, IF('(STEP 1) Baseline Conditions'!$B$6="Average", ('BMP Suitability 01'!U3*'BMP Removal Rates'!U$42)/100, IF('(STEP 1) Baseline Conditions'!$B$6="Best",('BMP Suitability 01'!U3*'BMP Removal Rates'!U$38)/100)))</f>
        <v>0.52500000000000002</v>
      </c>
      <c r="V3" s="110">
        <f>IF('(STEP 1) Baseline Conditions'!$B$6="Poor",('BMP Suitability 01'!V3*'BMP Removal Rates'!V$41)/100, IF('(STEP 1) Baseline Conditions'!$B$6="Average", ('BMP Suitability 01'!V3*'BMP Removal Rates'!V$42)/100, IF('(STEP 1) Baseline Conditions'!$B$6="Best",('BMP Suitability 01'!V3*'BMP Removal Rates'!V$38)/100)))</f>
        <v>0.72750000000000004</v>
      </c>
      <c r="W3" s="110">
        <f>IF('(STEP 1) Baseline Conditions'!$B$6="Poor",('BMP Suitability 01'!W3*'BMP Removal Rates'!W$41)/100, IF('(STEP 1) Baseline Conditions'!$B$6="Average", ('BMP Suitability 01'!W3*'BMP Removal Rates'!W$42)/100, IF('(STEP 1) Baseline Conditions'!$B$6="Best",('BMP Suitability 01'!W3*'BMP Removal Rates'!W$38)/100)))</f>
        <v>0.755</v>
      </c>
      <c r="X3" s="110">
        <f>IF('(STEP 1) Baseline Conditions'!$B$6="Poor",('BMP Suitability 01'!X3*'BMP Removal Rates'!X$41)/100, IF('(STEP 1) Baseline Conditions'!$B$6="Average", ('BMP Suitability 01'!X3*'BMP Removal Rates'!X$42)/100, IF('(STEP 1) Baseline Conditions'!$B$6="Best",('BMP Suitability 01'!X3*'BMP Removal Rates'!X$38)/100)))</f>
        <v>0</v>
      </c>
      <c r="Y3" s="110">
        <f>IF('(STEP 1) Baseline Conditions'!$B$6="Poor",('BMP Suitability 01'!Y3*'BMP Removal Rates'!Y$41)/100, IF('(STEP 1) Baseline Conditions'!$B$6="Average", ('BMP Suitability 01'!Y3*'BMP Removal Rates'!Y$42)/100, IF('(STEP 1) Baseline Conditions'!$B$6="Best",('BMP Suitability 01'!Y3*'BMP Removal Rates'!Y$38)/100)))</f>
        <v>0</v>
      </c>
      <c r="Z3" s="110">
        <f>IF('(STEP 1) Baseline Conditions'!$B$6="Poor",('BMP Suitability 01'!Z3*'BMP Removal Rates'!Z$41)/100, IF('(STEP 1) Baseline Conditions'!$B$6="Average", ('BMP Suitability 01'!Z3*'BMP Removal Rates'!Z$42)/100, IF('(STEP 1) Baseline Conditions'!$B$6="Best",('BMP Suitability 01'!Z3*'BMP Removal Rates'!Z$38)/100)))</f>
        <v>0.75</v>
      </c>
      <c r="AA3" s="110">
        <f>IF('(STEP 1) Baseline Conditions'!$B$6="Poor",('BMP Suitability 01'!AA3*'BMP Removal Rates'!AA$41)/100, IF('(STEP 1) Baseline Conditions'!$B$6="Average", ('BMP Suitability 01'!AA3*'BMP Removal Rates'!AA$42)/100, IF('(STEP 1) Baseline Conditions'!$B$6="Best",('BMP Suitability 01'!AA3*'BMP Removal Rates'!AA$38)/100)))</f>
        <v>0.71750000000000003</v>
      </c>
      <c r="AB3" s="110">
        <f>IF('(STEP 1) Baseline Conditions'!$B$6="Poor",('BMP Suitability 01'!AB3*'BMP Removal Rates'!AB$41)/100, IF('(STEP 1) Baseline Conditions'!$B$6="Average", ('BMP Suitability 01'!AB3*'BMP Removal Rates'!AB$42)/100, IF('(STEP 1) Baseline Conditions'!$B$6="Best",('BMP Suitability 01'!AB3*'BMP Removal Rates'!AB$38)/100)))</f>
        <v>0</v>
      </c>
      <c r="AC3" s="110">
        <f>IF('(STEP 1) Baseline Conditions'!$B$6="Poor",('BMP Suitability 01'!AC3*'BMP Removal Rates'!AC$41)/100, IF('(STEP 1) Baseline Conditions'!$B$6="Average", ('BMP Suitability 01'!AC3*'BMP Removal Rates'!AC$42)/100, IF('(STEP 1) Baseline Conditions'!$B$6="Best",('BMP Suitability 01'!AC3*'BMP Removal Rates'!AC$38)/100)))</f>
        <v>0</v>
      </c>
    </row>
    <row r="4" spans="1:29" x14ac:dyDescent="0.25">
      <c r="A4" s="3" t="s">
        <v>19</v>
      </c>
      <c r="B4" s="45">
        <f>IF(INDEX('Dosskey Coefficients'!$N$2:$N$20,MATCH('(STEP 1) Baseline Conditions'!$B$14,'Dosskey Coefficients'!$K$2:$K$20,0),0)&lt;0,('BMP Suitability 01'!B4*'BMP Removal Rates'!$B$38)/100, 'BMP Suitability 01'!B4*'BMP Removal Rates'!$B$39/100)</f>
        <v>0</v>
      </c>
      <c r="C4" s="45">
        <f>IF(INDEX('Dosskey Coefficients'!$N$2:$N$20,MATCH('(STEP 1) Baseline Conditions'!$B$14,'Dosskey Coefficients'!$K$2:$K$20,0),0)&lt;0,('BMP Suitability 01'!C4*$C$38)/100, 'BMP Suitability 01'!C4*$C$39/100)</f>
        <v>0</v>
      </c>
      <c r="D4" s="45">
        <f>('BMP Suitability 01'!D4*'BMP Removal Rates'!$D$38)/100</f>
        <v>0.62</v>
      </c>
      <c r="E4" s="45">
        <f>('BMP Suitability 01'!E4*'BMP Removal Rates'!$E$38)/100</f>
        <v>0.38500000000000001</v>
      </c>
      <c r="F4" s="45">
        <f>('BMP Suitability 01'!F4*'BMP Removal Rates'!$F$38)/100</f>
        <v>0.4</v>
      </c>
      <c r="G4" s="45">
        <f>('BMP Suitability 01'!G4*'BMP Removal Rates'!$G$38)/100</f>
        <v>0.75</v>
      </c>
      <c r="H4" s="45">
        <f>('BMP Suitability 01'!H4*'BMP Removal Rates'!$H$38)/100</f>
        <v>0.95</v>
      </c>
      <c r="I4" s="45">
        <f>('BMP Suitability 01'!I4*'BMP Removal Rates'!$I$38)/100</f>
        <v>0.85</v>
      </c>
      <c r="J4" s="45">
        <f>('BMP Suitability 01'!J4*'BMP Removal Rates'!$J$38)/100</f>
        <v>0.9</v>
      </c>
      <c r="K4" s="45">
        <f>('BMP Suitability 01'!K4*'BMP Removal Rates'!$K$38)/100</f>
        <v>0.75</v>
      </c>
      <c r="L4" s="45">
        <f>('BMP Suitability 01'!L4*'BMP Removal Rates'!$L$38)/100</f>
        <v>0</v>
      </c>
      <c r="M4" s="45">
        <f>('BMP Suitability 01'!M4*'BMP Removal Rates'!$M$38)/100</f>
        <v>0</v>
      </c>
      <c r="N4" s="110">
        <f>IF('(STEP 1) Baseline Conditions'!$B$6="Poor",('BMP Suitability 01'!N4*'BMP Removal Rates'!N$41)/100, IF('(STEP 1) Baseline Conditions'!$B$6="Average", ('BMP Suitability 01'!N4*'BMP Removal Rates'!N$42)/100, IF('(STEP 1) Baseline Conditions'!$B$6="Best",('BMP Suitability 01'!N4*'BMP Removal Rates'!N$38)/100)))</f>
        <v>0</v>
      </c>
      <c r="O4" s="110">
        <f>IF('(STEP 1) Baseline Conditions'!$B$6="Poor",('BMP Suitability 01'!O4*'BMP Removal Rates'!O$41)/100, IF('(STEP 1) Baseline Conditions'!$B$6="Average", ('BMP Suitability 01'!O4*'BMP Removal Rates'!O$42)/100, IF('(STEP 1) Baseline Conditions'!$B$6="Best",('BMP Suitability 01'!O4*'BMP Removal Rates'!O$38)/100)))</f>
        <v>0</v>
      </c>
      <c r="P4" s="110">
        <f>IF('(STEP 1) Baseline Conditions'!$B$6="Poor",('BMP Suitability 01'!P4*'BMP Removal Rates'!P$41)/100, IF('(STEP 1) Baseline Conditions'!$B$6="Average", ('BMP Suitability 01'!P4*'BMP Removal Rates'!P$42)/100, IF('(STEP 1) Baseline Conditions'!$B$6="Best",('BMP Suitability 01'!P4*'BMP Removal Rates'!P$38)/100)))</f>
        <v>0</v>
      </c>
      <c r="Q4" s="110">
        <f>IF('(STEP 1) Baseline Conditions'!$B$6="Poor",('BMP Suitability 01'!Q4*'BMP Removal Rates'!Q$41)/100, IF('(STEP 1) Baseline Conditions'!$B$6="Average", ('BMP Suitability 01'!Q4*'BMP Removal Rates'!Q$42)/100, IF('(STEP 1) Baseline Conditions'!$B$6="Best",('BMP Suitability 01'!Q4*'BMP Removal Rates'!Q$38)/100)))</f>
        <v>0</v>
      </c>
      <c r="R4" s="110">
        <f>IF('(STEP 1) Baseline Conditions'!$B$6="Poor",('BMP Suitability 01'!R4*'BMP Removal Rates'!R$41)/100, IF('(STEP 1) Baseline Conditions'!$B$6="Average", ('BMP Suitability 01'!R4*'BMP Removal Rates'!R$42)/100, IF('(STEP 1) Baseline Conditions'!$B$6="Best",('BMP Suitability 01'!R4*'BMP Removal Rates'!R$38)/100)))</f>
        <v>0</v>
      </c>
      <c r="S4" s="110">
        <f>IF('(STEP 1) Baseline Conditions'!$B$6="Poor",('BMP Suitability 01'!S4*'BMP Removal Rates'!S$41)/100, IF('(STEP 1) Baseline Conditions'!$B$6="Average", ('BMP Suitability 01'!S4*'BMP Removal Rates'!S$42)/100, IF('(STEP 1) Baseline Conditions'!$B$6="Best",('BMP Suitability 01'!S4*'BMP Removal Rates'!S$38)/100)))</f>
        <v>0</v>
      </c>
      <c r="T4" s="110">
        <f>IF('(STEP 1) Baseline Conditions'!$B$6="Poor",('BMP Suitability 01'!T4*'BMP Removal Rates'!T$41)/100, IF('(STEP 1) Baseline Conditions'!$B$6="Average", ('BMP Suitability 01'!T4*'BMP Removal Rates'!T$42)/100, IF('(STEP 1) Baseline Conditions'!$B$6="Best",('BMP Suitability 01'!T4*'BMP Removal Rates'!T$38)/100)))</f>
        <v>0.79749999999999999</v>
      </c>
      <c r="U4" s="110">
        <f>IF('(STEP 1) Baseline Conditions'!$B$6="Poor",('BMP Suitability 01'!U4*'BMP Removal Rates'!U$41)/100, IF('(STEP 1) Baseline Conditions'!$B$6="Average", ('BMP Suitability 01'!U4*'BMP Removal Rates'!U$42)/100, IF('(STEP 1) Baseline Conditions'!$B$6="Best",('BMP Suitability 01'!U4*'BMP Removal Rates'!U$38)/100)))</f>
        <v>0.52500000000000002</v>
      </c>
      <c r="V4" s="110">
        <f>IF('(STEP 1) Baseline Conditions'!$B$6="Poor",('BMP Suitability 01'!V4*'BMP Removal Rates'!V$41)/100, IF('(STEP 1) Baseline Conditions'!$B$6="Average", ('BMP Suitability 01'!V4*'BMP Removal Rates'!V$42)/100, IF('(STEP 1) Baseline Conditions'!$B$6="Best",('BMP Suitability 01'!V4*'BMP Removal Rates'!V$38)/100)))</f>
        <v>0</v>
      </c>
      <c r="W4" s="110">
        <f>IF('(STEP 1) Baseline Conditions'!$B$6="Poor",('BMP Suitability 01'!W4*'BMP Removal Rates'!W$41)/100, IF('(STEP 1) Baseline Conditions'!$B$6="Average", ('BMP Suitability 01'!W4*'BMP Removal Rates'!W$42)/100, IF('(STEP 1) Baseline Conditions'!$B$6="Best",('BMP Suitability 01'!W4*'BMP Removal Rates'!W$38)/100)))</f>
        <v>0</v>
      </c>
      <c r="X4" s="110">
        <f>IF('(STEP 1) Baseline Conditions'!$B$6="Poor",('BMP Suitability 01'!X4*'BMP Removal Rates'!X$41)/100, IF('(STEP 1) Baseline Conditions'!$B$6="Average", ('BMP Suitability 01'!X4*'BMP Removal Rates'!X$42)/100, IF('(STEP 1) Baseline Conditions'!$B$6="Best",('BMP Suitability 01'!X4*'BMP Removal Rates'!X$38)/100)))</f>
        <v>0</v>
      </c>
      <c r="Y4" s="110">
        <f>IF('(STEP 1) Baseline Conditions'!$B$6="Poor",('BMP Suitability 01'!Y4*'BMP Removal Rates'!Y$41)/100, IF('(STEP 1) Baseline Conditions'!$B$6="Average", ('BMP Suitability 01'!Y4*'BMP Removal Rates'!Y$42)/100, IF('(STEP 1) Baseline Conditions'!$B$6="Best",('BMP Suitability 01'!Y4*'BMP Removal Rates'!Y$38)/100)))</f>
        <v>0</v>
      </c>
      <c r="Z4" s="110">
        <f>IF('(STEP 1) Baseline Conditions'!$B$6="Poor",('BMP Suitability 01'!Z4*'BMP Removal Rates'!Z$41)/100, IF('(STEP 1) Baseline Conditions'!$B$6="Average", ('BMP Suitability 01'!Z4*'BMP Removal Rates'!Z$42)/100, IF('(STEP 1) Baseline Conditions'!$B$6="Best",('BMP Suitability 01'!Z4*'BMP Removal Rates'!Z$38)/100)))</f>
        <v>0.75</v>
      </c>
      <c r="AA4" s="110">
        <f>IF('(STEP 1) Baseline Conditions'!$B$6="Poor",('BMP Suitability 01'!AA4*'BMP Removal Rates'!AA$41)/100, IF('(STEP 1) Baseline Conditions'!$B$6="Average", ('BMP Suitability 01'!AA4*'BMP Removal Rates'!AA$42)/100, IF('(STEP 1) Baseline Conditions'!$B$6="Best",('BMP Suitability 01'!AA4*'BMP Removal Rates'!AA$38)/100)))</f>
        <v>0.71750000000000003</v>
      </c>
      <c r="AB4" s="110">
        <f>IF('(STEP 1) Baseline Conditions'!$B$6="Poor",('BMP Suitability 01'!AB4*'BMP Removal Rates'!AB$41)/100, IF('(STEP 1) Baseline Conditions'!$B$6="Average", ('BMP Suitability 01'!AB4*'BMP Removal Rates'!AB$42)/100, IF('(STEP 1) Baseline Conditions'!$B$6="Best",('BMP Suitability 01'!AB4*'BMP Removal Rates'!AB$38)/100)))</f>
        <v>0.55437499999999995</v>
      </c>
      <c r="AC4" s="110">
        <f>IF('(STEP 1) Baseline Conditions'!$B$6="Poor",('BMP Suitability 01'!AC4*'BMP Removal Rates'!AC$41)/100, IF('(STEP 1) Baseline Conditions'!$B$6="Average", ('BMP Suitability 01'!AC4*'BMP Removal Rates'!AC$42)/100, IF('(STEP 1) Baseline Conditions'!$B$6="Best",('BMP Suitability 01'!AC4*'BMP Removal Rates'!AC$38)/100)))</f>
        <v>0.62</v>
      </c>
    </row>
    <row r="5" spans="1:29" x14ac:dyDescent="0.25">
      <c r="A5" s="3" t="s">
        <v>20</v>
      </c>
      <c r="B5" s="45">
        <f>IF(INDEX('Dosskey Coefficients'!$N$2:$N$20,MATCH('(STEP 1) Baseline Conditions'!$B$14,'Dosskey Coefficients'!$K$2:$K$20,0),0)&lt;0,('BMP Suitability 01'!B5*'BMP Removal Rates'!$B$38)/100, 'BMP Suitability 01'!B5*'BMP Removal Rates'!$B$39/100)</f>
        <v>0.87</v>
      </c>
      <c r="C5" s="45">
        <f>IF(INDEX('Dosskey Coefficients'!$N$2:$N$20,MATCH('(STEP 1) Baseline Conditions'!$B$14,'Dosskey Coefficients'!$K$2:$K$20,0),0)&lt;0,('BMP Suitability 01'!C5*$C$38)/100, 'BMP Suitability 01'!C5*$C$39/100)</f>
        <v>0.64500000000000002</v>
      </c>
      <c r="D5" s="45">
        <f>('BMP Suitability 01'!D5*'BMP Removal Rates'!$D$38)/100</f>
        <v>0.62</v>
      </c>
      <c r="E5" s="45">
        <f>('BMP Suitability 01'!E5*'BMP Removal Rates'!$E$38)/100</f>
        <v>0.38500000000000001</v>
      </c>
      <c r="F5" s="45">
        <f>('BMP Suitability 01'!F5*'BMP Removal Rates'!$F$38)/100</f>
        <v>0.4</v>
      </c>
      <c r="G5" s="45">
        <f>('BMP Suitability 01'!G5*'BMP Removal Rates'!$G$38)/100</f>
        <v>0.75</v>
      </c>
      <c r="H5" s="45">
        <f>('BMP Suitability 01'!H5*'BMP Removal Rates'!$H$38)/100</f>
        <v>0.95</v>
      </c>
      <c r="I5" s="45">
        <f>('BMP Suitability 01'!I5*'BMP Removal Rates'!$I$38)/100</f>
        <v>0.85</v>
      </c>
      <c r="J5" s="45">
        <f>('BMP Suitability 01'!J5*'BMP Removal Rates'!$J$38)/100</f>
        <v>0.9</v>
      </c>
      <c r="K5" s="45">
        <f>('BMP Suitability 01'!K5*'BMP Removal Rates'!$K$38)/100</f>
        <v>0.75</v>
      </c>
      <c r="L5" s="45">
        <f>('BMP Suitability 01'!L5*'BMP Removal Rates'!$L$38)/100</f>
        <v>0.69</v>
      </c>
      <c r="M5" s="45">
        <f>('BMP Suitability 01'!M5*'BMP Removal Rates'!$M$38)/100</f>
        <v>0.77500000000000002</v>
      </c>
      <c r="N5" s="110">
        <f>IF('(STEP 1) Baseline Conditions'!$B$6="Poor",('BMP Suitability 01'!N5*'BMP Removal Rates'!N$41)/100, IF('(STEP 1) Baseline Conditions'!$B$6="Average", ('BMP Suitability 01'!N5*'BMP Removal Rates'!N$42)/100, IF('(STEP 1) Baseline Conditions'!$B$6="Best",('BMP Suitability 01'!N5*'BMP Removal Rates'!N$38)/100)))</f>
        <v>0.82</v>
      </c>
      <c r="O5" s="110">
        <f>IF('(STEP 1) Baseline Conditions'!$B$6="Poor",('BMP Suitability 01'!O5*'BMP Removal Rates'!O$41)/100, IF('(STEP 1) Baseline Conditions'!$B$6="Average", ('BMP Suitability 01'!O5*'BMP Removal Rates'!O$42)/100, IF('(STEP 1) Baseline Conditions'!$B$6="Best",('BMP Suitability 01'!O5*'BMP Removal Rates'!O$38)/100)))</f>
        <v>0.21</v>
      </c>
      <c r="P5" s="110">
        <f>IF('(STEP 1) Baseline Conditions'!$B$6="Poor",('BMP Suitability 01'!P5*'BMP Removal Rates'!P$41)/100, IF('(STEP 1) Baseline Conditions'!$B$6="Average", ('BMP Suitability 01'!P5*'BMP Removal Rates'!P$42)/100, IF('(STEP 1) Baseline Conditions'!$B$6="Best",('BMP Suitability 01'!P5*'BMP Removal Rates'!P$38)/100)))</f>
        <v>0.83750000000000002</v>
      </c>
      <c r="Q5" s="110">
        <f>IF('(STEP 1) Baseline Conditions'!$B$6="Poor",('BMP Suitability 01'!Q5*'BMP Removal Rates'!Q$41)/100, IF('(STEP 1) Baseline Conditions'!$B$6="Average", ('BMP Suitability 01'!Q5*'BMP Removal Rates'!Q$42)/100, IF('(STEP 1) Baseline Conditions'!$B$6="Best",('BMP Suitability 01'!Q5*'BMP Removal Rates'!Q$38)/100)))</f>
        <v>0.73750000000000004</v>
      </c>
      <c r="R5" s="110">
        <f>IF('(STEP 1) Baseline Conditions'!$B$6="Poor",('BMP Suitability 01'!R5*'BMP Removal Rates'!R$41)/100, IF('(STEP 1) Baseline Conditions'!$B$6="Average", ('BMP Suitability 01'!R5*'BMP Removal Rates'!R$42)/100, IF('(STEP 1) Baseline Conditions'!$B$6="Best",('BMP Suitability 01'!R5*'BMP Removal Rates'!R$38)/100)))</f>
        <v>0</v>
      </c>
      <c r="S5" s="110">
        <f>IF('(STEP 1) Baseline Conditions'!$B$6="Poor",('BMP Suitability 01'!S5*'BMP Removal Rates'!S$41)/100, IF('(STEP 1) Baseline Conditions'!$B$6="Average", ('BMP Suitability 01'!S5*'BMP Removal Rates'!S$42)/100, IF('(STEP 1) Baseline Conditions'!$B$6="Best",('BMP Suitability 01'!S5*'BMP Removal Rates'!S$38)/100)))</f>
        <v>0</v>
      </c>
      <c r="T5" s="110">
        <f>IF('(STEP 1) Baseline Conditions'!$B$6="Poor",('BMP Suitability 01'!T5*'BMP Removal Rates'!T$41)/100, IF('(STEP 1) Baseline Conditions'!$B$6="Average", ('BMP Suitability 01'!T5*'BMP Removal Rates'!T$42)/100, IF('(STEP 1) Baseline Conditions'!$B$6="Best",('BMP Suitability 01'!T5*'BMP Removal Rates'!T$38)/100)))</f>
        <v>0.79749999999999999</v>
      </c>
      <c r="U5" s="110">
        <f>IF('(STEP 1) Baseline Conditions'!$B$6="Poor",('BMP Suitability 01'!U5*'BMP Removal Rates'!U$41)/100, IF('(STEP 1) Baseline Conditions'!$B$6="Average", ('BMP Suitability 01'!U5*'BMP Removal Rates'!U$42)/100, IF('(STEP 1) Baseline Conditions'!$B$6="Best",('BMP Suitability 01'!U5*'BMP Removal Rates'!U$38)/100)))</f>
        <v>0.52500000000000002</v>
      </c>
      <c r="V5" s="110">
        <f>IF('(STEP 1) Baseline Conditions'!$B$6="Poor",('BMP Suitability 01'!V5*'BMP Removal Rates'!V$41)/100, IF('(STEP 1) Baseline Conditions'!$B$6="Average", ('BMP Suitability 01'!V5*'BMP Removal Rates'!V$42)/100, IF('(STEP 1) Baseline Conditions'!$B$6="Best",('BMP Suitability 01'!V5*'BMP Removal Rates'!V$38)/100)))</f>
        <v>0.72750000000000004</v>
      </c>
      <c r="W5" s="110">
        <f>IF('(STEP 1) Baseline Conditions'!$B$6="Poor",('BMP Suitability 01'!W5*'BMP Removal Rates'!W$41)/100, IF('(STEP 1) Baseline Conditions'!$B$6="Average", ('BMP Suitability 01'!W5*'BMP Removal Rates'!W$42)/100, IF('(STEP 1) Baseline Conditions'!$B$6="Best",('BMP Suitability 01'!W5*'BMP Removal Rates'!W$38)/100)))</f>
        <v>0.755</v>
      </c>
      <c r="X5" s="110">
        <f>IF('(STEP 1) Baseline Conditions'!$B$6="Poor",('BMP Suitability 01'!X5*'BMP Removal Rates'!X$41)/100, IF('(STEP 1) Baseline Conditions'!$B$6="Average", ('BMP Suitability 01'!X5*'BMP Removal Rates'!X$42)/100, IF('(STEP 1) Baseline Conditions'!$B$6="Best",('BMP Suitability 01'!X5*'BMP Removal Rates'!X$38)/100)))</f>
        <v>0</v>
      </c>
      <c r="Y5" s="110">
        <f>IF('(STEP 1) Baseline Conditions'!$B$6="Poor",('BMP Suitability 01'!Y5*'BMP Removal Rates'!Y$41)/100, IF('(STEP 1) Baseline Conditions'!$B$6="Average", ('BMP Suitability 01'!Y5*'BMP Removal Rates'!Y$42)/100, IF('(STEP 1) Baseline Conditions'!$B$6="Best",('BMP Suitability 01'!Y5*'BMP Removal Rates'!Y$38)/100)))</f>
        <v>0</v>
      </c>
      <c r="Z5" s="110">
        <f>IF('(STEP 1) Baseline Conditions'!$B$6="Poor",('BMP Suitability 01'!Z5*'BMP Removal Rates'!Z$41)/100, IF('(STEP 1) Baseline Conditions'!$B$6="Average", ('BMP Suitability 01'!Z5*'BMP Removal Rates'!Z$42)/100, IF('(STEP 1) Baseline Conditions'!$B$6="Best",('BMP Suitability 01'!Z5*'BMP Removal Rates'!Z$38)/100)))</f>
        <v>0</v>
      </c>
      <c r="AA5" s="110">
        <f>IF('(STEP 1) Baseline Conditions'!$B$6="Poor",('BMP Suitability 01'!AA5*'BMP Removal Rates'!AA$41)/100, IF('(STEP 1) Baseline Conditions'!$B$6="Average", ('BMP Suitability 01'!AA5*'BMP Removal Rates'!AA$42)/100, IF('(STEP 1) Baseline Conditions'!$B$6="Best",('BMP Suitability 01'!AA5*'BMP Removal Rates'!AA$38)/100)))</f>
        <v>0</v>
      </c>
      <c r="AB5" s="110">
        <f>IF('(STEP 1) Baseline Conditions'!$B$6="Poor",('BMP Suitability 01'!AB5*'BMP Removal Rates'!AB$41)/100, IF('(STEP 1) Baseline Conditions'!$B$6="Average", ('BMP Suitability 01'!AB5*'BMP Removal Rates'!AB$42)/100, IF('(STEP 1) Baseline Conditions'!$B$6="Best",('BMP Suitability 01'!AB5*'BMP Removal Rates'!AB$38)/100)))</f>
        <v>0</v>
      </c>
      <c r="AC5" s="110">
        <f>IF('(STEP 1) Baseline Conditions'!$B$6="Poor",('BMP Suitability 01'!AC5*'BMP Removal Rates'!AC$41)/100, IF('(STEP 1) Baseline Conditions'!$B$6="Average", ('BMP Suitability 01'!AC5*'BMP Removal Rates'!AC$42)/100, IF('(STEP 1) Baseline Conditions'!$B$6="Best",('BMP Suitability 01'!AC5*'BMP Removal Rates'!AC$38)/100)))</f>
        <v>0</v>
      </c>
    </row>
    <row r="6" spans="1:29" x14ac:dyDescent="0.25">
      <c r="A6" s="3" t="s">
        <v>21</v>
      </c>
      <c r="B6" s="45">
        <f>IF(INDEX('Dosskey Coefficients'!$N$2:$N$20,MATCH('(STEP 1) Baseline Conditions'!$B$14,'Dosskey Coefficients'!$K$2:$K$20,0),0)&lt;0,('BMP Suitability 01'!B6*'BMP Removal Rates'!$B$38)/100, 'BMP Suitability 01'!B6*'BMP Removal Rates'!$B$39/100)</f>
        <v>0</v>
      </c>
      <c r="C6" s="45">
        <f>IF(INDEX('Dosskey Coefficients'!$N$2:$N$20,MATCH('(STEP 1) Baseline Conditions'!$B$14,'Dosskey Coefficients'!$K$2:$K$20,0),0)&lt;0,('BMP Suitability 01'!C6*$C$38)/100, 'BMP Suitability 01'!C6*$C$39/100)</f>
        <v>0</v>
      </c>
      <c r="D6" s="45">
        <f>('BMP Suitability 01'!D6*'BMP Removal Rates'!$D$38)/100</f>
        <v>0.62</v>
      </c>
      <c r="E6" s="45">
        <f>('BMP Suitability 01'!E6*'BMP Removal Rates'!$E$38)/100</f>
        <v>0.38500000000000001</v>
      </c>
      <c r="F6" s="45">
        <f>('BMP Suitability 01'!F6*'BMP Removal Rates'!$F$38)/100</f>
        <v>0.4</v>
      </c>
      <c r="G6" s="45">
        <f>('BMP Suitability 01'!G6*'BMP Removal Rates'!$G$38)/100</f>
        <v>0.75</v>
      </c>
      <c r="H6" s="45">
        <f>('BMP Suitability 01'!H6*'BMP Removal Rates'!$H$38)/100</f>
        <v>0.95</v>
      </c>
      <c r="I6" s="45">
        <f>('BMP Suitability 01'!I6*'BMP Removal Rates'!$I$38)/100</f>
        <v>0.85</v>
      </c>
      <c r="J6" s="45">
        <f>('BMP Suitability 01'!J6*'BMP Removal Rates'!$J$38)/100</f>
        <v>0.9</v>
      </c>
      <c r="K6" s="45">
        <f>('BMP Suitability 01'!K6*'BMP Removal Rates'!$K$38)/100</f>
        <v>0.75</v>
      </c>
      <c r="L6" s="45">
        <f>('BMP Suitability 01'!L6*'BMP Removal Rates'!$L$38)/100</f>
        <v>0</v>
      </c>
      <c r="M6" s="45">
        <f>('BMP Suitability 01'!M6*'BMP Removal Rates'!$M$38)/100</f>
        <v>0</v>
      </c>
      <c r="N6" s="110">
        <f>IF('(STEP 1) Baseline Conditions'!$B$6="Poor",('BMP Suitability 01'!N6*'BMP Removal Rates'!N$41)/100, IF('(STEP 1) Baseline Conditions'!$B$6="Average", ('BMP Suitability 01'!N6*'BMP Removal Rates'!N$42)/100, IF('(STEP 1) Baseline Conditions'!$B$6="Best",('BMP Suitability 01'!N6*'BMP Removal Rates'!N$38)/100)))</f>
        <v>0.82</v>
      </c>
      <c r="O6" s="110">
        <f>IF('(STEP 1) Baseline Conditions'!$B$6="Poor",('BMP Suitability 01'!O6*'BMP Removal Rates'!O$41)/100, IF('(STEP 1) Baseline Conditions'!$B$6="Average", ('BMP Suitability 01'!O6*'BMP Removal Rates'!O$42)/100, IF('(STEP 1) Baseline Conditions'!$B$6="Best",('BMP Suitability 01'!O6*'BMP Removal Rates'!O$38)/100)))</f>
        <v>0.21</v>
      </c>
      <c r="P6" s="110">
        <f>IF('(STEP 1) Baseline Conditions'!$B$6="Poor",('BMP Suitability 01'!P6*'BMP Removal Rates'!P$41)/100, IF('(STEP 1) Baseline Conditions'!$B$6="Average", ('BMP Suitability 01'!P6*'BMP Removal Rates'!P$42)/100, IF('(STEP 1) Baseline Conditions'!$B$6="Best",('BMP Suitability 01'!P6*'BMP Removal Rates'!P$38)/100)))</f>
        <v>0</v>
      </c>
      <c r="Q6" s="110">
        <f>IF('(STEP 1) Baseline Conditions'!$B$6="Poor",('BMP Suitability 01'!Q6*'BMP Removal Rates'!Q$41)/100, IF('(STEP 1) Baseline Conditions'!$B$6="Average", ('BMP Suitability 01'!Q6*'BMP Removal Rates'!Q$42)/100, IF('(STEP 1) Baseline Conditions'!$B$6="Best",('BMP Suitability 01'!Q6*'BMP Removal Rates'!Q$38)/100)))</f>
        <v>0</v>
      </c>
      <c r="R6" s="110">
        <f>IF('(STEP 1) Baseline Conditions'!$B$6="Poor",('BMP Suitability 01'!R6*'BMP Removal Rates'!R$41)/100, IF('(STEP 1) Baseline Conditions'!$B$6="Average", ('BMP Suitability 01'!R6*'BMP Removal Rates'!R$42)/100, IF('(STEP 1) Baseline Conditions'!$B$6="Best",('BMP Suitability 01'!R6*'BMP Removal Rates'!R$38)/100)))</f>
        <v>0</v>
      </c>
      <c r="S6" s="110">
        <f>IF('(STEP 1) Baseline Conditions'!$B$6="Poor",('BMP Suitability 01'!S6*'BMP Removal Rates'!S$41)/100, IF('(STEP 1) Baseline Conditions'!$B$6="Average", ('BMP Suitability 01'!S6*'BMP Removal Rates'!S$42)/100, IF('(STEP 1) Baseline Conditions'!$B$6="Best",('BMP Suitability 01'!S6*'BMP Removal Rates'!S$38)/100)))</f>
        <v>0</v>
      </c>
      <c r="T6" s="110">
        <f>IF('(STEP 1) Baseline Conditions'!$B$6="Poor",('BMP Suitability 01'!T6*'BMP Removal Rates'!T$41)/100, IF('(STEP 1) Baseline Conditions'!$B$6="Average", ('BMP Suitability 01'!T6*'BMP Removal Rates'!T$42)/100, IF('(STEP 1) Baseline Conditions'!$B$6="Best",('BMP Suitability 01'!T6*'BMP Removal Rates'!T$38)/100)))</f>
        <v>0.79749999999999999</v>
      </c>
      <c r="U6" s="110">
        <f>IF('(STEP 1) Baseline Conditions'!$B$6="Poor",('BMP Suitability 01'!U6*'BMP Removal Rates'!U$41)/100, IF('(STEP 1) Baseline Conditions'!$B$6="Average", ('BMP Suitability 01'!U6*'BMP Removal Rates'!U$42)/100, IF('(STEP 1) Baseline Conditions'!$B$6="Best",('BMP Suitability 01'!U6*'BMP Removal Rates'!U$38)/100)))</f>
        <v>0.52500000000000002</v>
      </c>
      <c r="V6" s="110">
        <f>IF('(STEP 1) Baseline Conditions'!$B$6="Poor",('BMP Suitability 01'!V6*'BMP Removal Rates'!V$41)/100, IF('(STEP 1) Baseline Conditions'!$B$6="Average", ('BMP Suitability 01'!V6*'BMP Removal Rates'!V$42)/100, IF('(STEP 1) Baseline Conditions'!$B$6="Best",('BMP Suitability 01'!V6*'BMP Removal Rates'!V$38)/100)))</f>
        <v>0.72750000000000004</v>
      </c>
      <c r="W6" s="110">
        <f>IF('(STEP 1) Baseline Conditions'!$B$6="Poor",('BMP Suitability 01'!W6*'BMP Removal Rates'!W$41)/100, IF('(STEP 1) Baseline Conditions'!$B$6="Average", ('BMP Suitability 01'!W6*'BMP Removal Rates'!W$42)/100, IF('(STEP 1) Baseline Conditions'!$B$6="Best",('BMP Suitability 01'!W6*'BMP Removal Rates'!W$38)/100)))</f>
        <v>0.755</v>
      </c>
      <c r="X6" s="110">
        <f>IF('(STEP 1) Baseline Conditions'!$B$6="Poor",('BMP Suitability 01'!X6*'BMP Removal Rates'!X$41)/100, IF('(STEP 1) Baseline Conditions'!$B$6="Average", ('BMP Suitability 01'!X6*'BMP Removal Rates'!X$42)/100, IF('(STEP 1) Baseline Conditions'!$B$6="Best",('BMP Suitability 01'!X6*'BMP Removal Rates'!X$38)/100)))</f>
        <v>0.85</v>
      </c>
      <c r="Y6" s="110">
        <f>IF('(STEP 1) Baseline Conditions'!$B$6="Poor",('BMP Suitability 01'!Y6*'BMP Removal Rates'!Y$41)/100, IF('(STEP 1) Baseline Conditions'!$B$6="Average", ('BMP Suitability 01'!Y6*'BMP Removal Rates'!Y$42)/100, IF('(STEP 1) Baseline Conditions'!$B$6="Best",('BMP Suitability 01'!Y6*'BMP Removal Rates'!Y$38)/100)))</f>
        <v>0.22</v>
      </c>
      <c r="Z6" s="110">
        <f>IF('(STEP 1) Baseline Conditions'!$B$6="Poor",('BMP Suitability 01'!Z6*'BMP Removal Rates'!Z$41)/100, IF('(STEP 1) Baseline Conditions'!$B$6="Average", ('BMP Suitability 01'!Z6*'BMP Removal Rates'!Z$42)/100, IF('(STEP 1) Baseline Conditions'!$B$6="Best",('BMP Suitability 01'!Z6*'BMP Removal Rates'!Z$38)/100)))</f>
        <v>0.75</v>
      </c>
      <c r="AA6" s="110">
        <f>IF('(STEP 1) Baseline Conditions'!$B$6="Poor",('BMP Suitability 01'!AA6*'BMP Removal Rates'!AA$41)/100, IF('(STEP 1) Baseline Conditions'!$B$6="Average", ('BMP Suitability 01'!AA6*'BMP Removal Rates'!AA$42)/100, IF('(STEP 1) Baseline Conditions'!$B$6="Best",('BMP Suitability 01'!AA6*'BMP Removal Rates'!AA$38)/100)))</f>
        <v>0.71750000000000003</v>
      </c>
      <c r="AB6" s="110">
        <f>IF('(STEP 1) Baseline Conditions'!$B$6="Poor",('BMP Suitability 01'!AB6*'BMP Removal Rates'!AB$41)/100, IF('(STEP 1) Baseline Conditions'!$B$6="Average", ('BMP Suitability 01'!AB6*'BMP Removal Rates'!AB$42)/100, IF('(STEP 1) Baseline Conditions'!$B$6="Best",('BMP Suitability 01'!AB6*'BMP Removal Rates'!AB$38)/100)))</f>
        <v>0.55437499999999995</v>
      </c>
      <c r="AC6" s="110">
        <f>IF('(STEP 1) Baseline Conditions'!$B$6="Poor",('BMP Suitability 01'!AC6*'BMP Removal Rates'!AC$41)/100, IF('(STEP 1) Baseline Conditions'!$B$6="Average", ('BMP Suitability 01'!AC6*'BMP Removal Rates'!AC$42)/100, IF('(STEP 1) Baseline Conditions'!$B$6="Best",('BMP Suitability 01'!AC6*'BMP Removal Rates'!AC$38)/100)))</f>
        <v>0.62</v>
      </c>
    </row>
    <row r="7" spans="1:29" x14ac:dyDescent="0.25">
      <c r="A7" s="3" t="s">
        <v>22</v>
      </c>
      <c r="B7" s="45">
        <f>IF(INDEX('Dosskey Coefficients'!$N$2:$N$20,MATCH('(STEP 1) Baseline Conditions'!$B$14,'Dosskey Coefficients'!$K$2:$K$20,0),0)&lt;0,('BMP Suitability 01'!B7*'BMP Removal Rates'!$B$38)/100, 'BMP Suitability 01'!B7*'BMP Removal Rates'!$B$39/100)</f>
        <v>0.87</v>
      </c>
      <c r="C7" s="45">
        <f>IF(INDEX('Dosskey Coefficients'!$N$2:$N$20,MATCH('(STEP 1) Baseline Conditions'!$B$14,'Dosskey Coefficients'!$K$2:$K$20,0),0)&lt;0,('BMP Suitability 01'!C7*$C$38)/100, 'BMP Suitability 01'!C7*$C$39/100)</f>
        <v>0.64500000000000002</v>
      </c>
      <c r="D7" s="45">
        <f>('BMP Suitability 01'!D7*'BMP Removal Rates'!$D$38)/100</f>
        <v>0.62</v>
      </c>
      <c r="E7" s="45">
        <f>('BMP Suitability 01'!E7*'BMP Removal Rates'!$E$38)/100</f>
        <v>0.38500000000000001</v>
      </c>
      <c r="F7" s="45">
        <f>('BMP Suitability 01'!F7*'BMP Removal Rates'!$F$38)/100</f>
        <v>0.4</v>
      </c>
      <c r="G7" s="45">
        <f>('BMP Suitability 01'!G7*'BMP Removal Rates'!$G$38)/100</f>
        <v>0.75</v>
      </c>
      <c r="H7" s="45">
        <f>('BMP Suitability 01'!H7*'BMP Removal Rates'!$H$38)/100</f>
        <v>0.95</v>
      </c>
      <c r="I7" s="45">
        <f>('BMP Suitability 01'!I7*'BMP Removal Rates'!$I$38)/100</f>
        <v>0.85</v>
      </c>
      <c r="J7" s="45">
        <f>('BMP Suitability 01'!J7*'BMP Removal Rates'!$J$38)/100</f>
        <v>0.9</v>
      </c>
      <c r="K7" s="45">
        <f>('BMP Suitability 01'!K7*'BMP Removal Rates'!$K$38)/100</f>
        <v>0.75</v>
      </c>
      <c r="L7" s="45">
        <f>('BMP Suitability 01'!L7*'BMP Removal Rates'!$L$38)/100</f>
        <v>0.69</v>
      </c>
      <c r="M7" s="45">
        <f>('BMP Suitability 01'!M7*'BMP Removal Rates'!$M$38)/100</f>
        <v>0.77500000000000002</v>
      </c>
      <c r="N7" s="110">
        <f>IF('(STEP 1) Baseline Conditions'!$B$6="Poor",('BMP Suitability 01'!N7*'BMP Removal Rates'!N$41)/100, IF('(STEP 1) Baseline Conditions'!$B$6="Average", ('BMP Suitability 01'!N7*'BMP Removal Rates'!N$42)/100, IF('(STEP 1) Baseline Conditions'!$B$6="Best",('BMP Suitability 01'!N7*'BMP Removal Rates'!N$38)/100)))</f>
        <v>0.82</v>
      </c>
      <c r="O7" s="110">
        <f>IF('(STEP 1) Baseline Conditions'!$B$6="Poor",('BMP Suitability 01'!O7*'BMP Removal Rates'!O$41)/100, IF('(STEP 1) Baseline Conditions'!$B$6="Average", ('BMP Suitability 01'!O7*'BMP Removal Rates'!O$42)/100, IF('(STEP 1) Baseline Conditions'!$B$6="Best",('BMP Suitability 01'!O7*'BMP Removal Rates'!O$38)/100)))</f>
        <v>0.21</v>
      </c>
      <c r="P7" s="110">
        <f>IF('(STEP 1) Baseline Conditions'!$B$6="Poor",('BMP Suitability 01'!P7*'BMP Removal Rates'!P$41)/100, IF('(STEP 1) Baseline Conditions'!$B$6="Average", ('BMP Suitability 01'!P7*'BMP Removal Rates'!P$42)/100, IF('(STEP 1) Baseline Conditions'!$B$6="Best",('BMP Suitability 01'!P7*'BMP Removal Rates'!P$38)/100)))</f>
        <v>0.83750000000000002</v>
      </c>
      <c r="Q7" s="110">
        <f>IF('(STEP 1) Baseline Conditions'!$B$6="Poor",('BMP Suitability 01'!Q7*'BMP Removal Rates'!Q$41)/100, IF('(STEP 1) Baseline Conditions'!$B$6="Average", ('BMP Suitability 01'!Q7*'BMP Removal Rates'!Q$42)/100, IF('(STEP 1) Baseline Conditions'!$B$6="Best",('BMP Suitability 01'!Q7*'BMP Removal Rates'!Q$38)/100)))</f>
        <v>0.73750000000000004</v>
      </c>
      <c r="R7" s="110">
        <f>IF('(STEP 1) Baseline Conditions'!$B$6="Poor",('BMP Suitability 01'!R7*'BMP Removal Rates'!R$41)/100, IF('(STEP 1) Baseline Conditions'!$B$6="Average", ('BMP Suitability 01'!R7*'BMP Removal Rates'!R$42)/100, IF('(STEP 1) Baseline Conditions'!$B$6="Best",('BMP Suitability 01'!R7*'BMP Removal Rates'!R$38)/100)))</f>
        <v>0</v>
      </c>
      <c r="S7" s="110">
        <f>IF('(STEP 1) Baseline Conditions'!$B$6="Poor",('BMP Suitability 01'!S7*'BMP Removal Rates'!S$41)/100, IF('(STEP 1) Baseline Conditions'!$B$6="Average", ('BMP Suitability 01'!S7*'BMP Removal Rates'!S$42)/100, IF('(STEP 1) Baseline Conditions'!$B$6="Best",('BMP Suitability 01'!S7*'BMP Removal Rates'!S$38)/100)))</f>
        <v>0</v>
      </c>
      <c r="T7" s="110">
        <f>IF('(STEP 1) Baseline Conditions'!$B$6="Poor",('BMP Suitability 01'!T7*'BMP Removal Rates'!T$41)/100, IF('(STEP 1) Baseline Conditions'!$B$6="Average", ('BMP Suitability 01'!T7*'BMP Removal Rates'!T$42)/100, IF('(STEP 1) Baseline Conditions'!$B$6="Best",('BMP Suitability 01'!T7*'BMP Removal Rates'!T$38)/100)))</f>
        <v>0.79749999999999999</v>
      </c>
      <c r="U7" s="110">
        <f>IF('(STEP 1) Baseline Conditions'!$B$6="Poor",('BMP Suitability 01'!U7*'BMP Removal Rates'!U$41)/100, IF('(STEP 1) Baseline Conditions'!$B$6="Average", ('BMP Suitability 01'!U7*'BMP Removal Rates'!U$42)/100, IF('(STEP 1) Baseline Conditions'!$B$6="Best",('BMP Suitability 01'!U7*'BMP Removal Rates'!U$38)/100)))</f>
        <v>0.52500000000000002</v>
      </c>
      <c r="V7" s="110">
        <f>IF('(STEP 1) Baseline Conditions'!$B$6="Poor",('BMP Suitability 01'!V7*'BMP Removal Rates'!V$41)/100, IF('(STEP 1) Baseline Conditions'!$B$6="Average", ('BMP Suitability 01'!V7*'BMP Removal Rates'!V$42)/100, IF('(STEP 1) Baseline Conditions'!$B$6="Best",('BMP Suitability 01'!V7*'BMP Removal Rates'!V$38)/100)))</f>
        <v>0.72750000000000004</v>
      </c>
      <c r="W7" s="110">
        <f>IF('(STEP 1) Baseline Conditions'!$B$6="Poor",('BMP Suitability 01'!W7*'BMP Removal Rates'!W$41)/100, IF('(STEP 1) Baseline Conditions'!$B$6="Average", ('BMP Suitability 01'!W7*'BMP Removal Rates'!W$42)/100, IF('(STEP 1) Baseline Conditions'!$B$6="Best",('BMP Suitability 01'!W7*'BMP Removal Rates'!W$38)/100)))</f>
        <v>0.755</v>
      </c>
      <c r="X7" s="110">
        <f>IF('(STEP 1) Baseline Conditions'!$B$6="Poor",('BMP Suitability 01'!X7*'BMP Removal Rates'!X$41)/100, IF('(STEP 1) Baseline Conditions'!$B$6="Average", ('BMP Suitability 01'!X7*'BMP Removal Rates'!X$42)/100, IF('(STEP 1) Baseline Conditions'!$B$6="Best",('BMP Suitability 01'!X7*'BMP Removal Rates'!X$38)/100)))</f>
        <v>0</v>
      </c>
      <c r="Y7" s="110">
        <f>IF('(STEP 1) Baseline Conditions'!$B$6="Poor",('BMP Suitability 01'!Y7*'BMP Removal Rates'!Y$41)/100, IF('(STEP 1) Baseline Conditions'!$B$6="Average", ('BMP Suitability 01'!Y7*'BMP Removal Rates'!Y$42)/100, IF('(STEP 1) Baseline Conditions'!$B$6="Best",('BMP Suitability 01'!Y7*'BMP Removal Rates'!Y$38)/100)))</f>
        <v>0</v>
      </c>
      <c r="Z7" s="110">
        <f>IF('(STEP 1) Baseline Conditions'!$B$6="Poor",('BMP Suitability 01'!Z7*'BMP Removal Rates'!Z$41)/100, IF('(STEP 1) Baseline Conditions'!$B$6="Average", ('BMP Suitability 01'!Z7*'BMP Removal Rates'!Z$42)/100, IF('(STEP 1) Baseline Conditions'!$B$6="Best",('BMP Suitability 01'!Z7*'BMP Removal Rates'!Z$38)/100)))</f>
        <v>0</v>
      </c>
      <c r="AA7" s="110">
        <f>IF('(STEP 1) Baseline Conditions'!$B$6="Poor",('BMP Suitability 01'!AA7*'BMP Removal Rates'!AA$41)/100, IF('(STEP 1) Baseline Conditions'!$B$6="Average", ('BMP Suitability 01'!AA7*'BMP Removal Rates'!AA$42)/100, IF('(STEP 1) Baseline Conditions'!$B$6="Best",('BMP Suitability 01'!AA7*'BMP Removal Rates'!AA$38)/100)))</f>
        <v>0</v>
      </c>
      <c r="AB7" s="110">
        <f>IF('(STEP 1) Baseline Conditions'!$B$6="Poor",('BMP Suitability 01'!AB7*'BMP Removal Rates'!AB$41)/100, IF('(STEP 1) Baseline Conditions'!$B$6="Average", ('BMP Suitability 01'!AB7*'BMP Removal Rates'!AB$42)/100, IF('(STEP 1) Baseline Conditions'!$B$6="Best",('BMP Suitability 01'!AB7*'BMP Removal Rates'!AB$38)/100)))</f>
        <v>0</v>
      </c>
      <c r="AC7" s="110">
        <f>IF('(STEP 1) Baseline Conditions'!$B$6="Poor",('BMP Suitability 01'!AC7*'BMP Removal Rates'!AC$41)/100, IF('(STEP 1) Baseline Conditions'!$B$6="Average", ('BMP Suitability 01'!AC7*'BMP Removal Rates'!AC$42)/100, IF('(STEP 1) Baseline Conditions'!$B$6="Best",('BMP Suitability 01'!AC7*'BMP Removal Rates'!AC$38)/100)))</f>
        <v>0</v>
      </c>
    </row>
    <row r="8" spans="1:29" x14ac:dyDescent="0.25">
      <c r="A8" s="3" t="s">
        <v>23</v>
      </c>
      <c r="B8" s="45">
        <f>IF(INDEX('Dosskey Coefficients'!$N$2:$N$20,MATCH('(STEP 1) Baseline Conditions'!$B$14,'Dosskey Coefficients'!$K$2:$K$20,0),0)&lt;0,('BMP Suitability 01'!B8*'BMP Removal Rates'!$B$38)/100, 'BMP Suitability 01'!B8*'BMP Removal Rates'!$B$39/100)</f>
        <v>0</v>
      </c>
      <c r="C8" s="45">
        <f>IF(INDEX('Dosskey Coefficients'!$N$2:$N$20,MATCH('(STEP 1) Baseline Conditions'!$B$14,'Dosskey Coefficients'!$K$2:$K$20,0),0)&lt;0,('BMP Suitability 01'!C8*$C$38)/100, 'BMP Suitability 01'!C8*$C$39/100)</f>
        <v>0</v>
      </c>
      <c r="D8" s="45">
        <f>('BMP Suitability 01'!D8*'BMP Removal Rates'!$D$38)/100</f>
        <v>0.62</v>
      </c>
      <c r="E8" s="45">
        <f>('BMP Suitability 01'!E8*'BMP Removal Rates'!$E$38)/100</f>
        <v>0.38500000000000001</v>
      </c>
      <c r="F8" s="45">
        <f>('BMP Suitability 01'!F8*'BMP Removal Rates'!$F$38)/100</f>
        <v>0.4</v>
      </c>
      <c r="G8" s="45">
        <f>('BMP Suitability 01'!G8*'BMP Removal Rates'!$G$38)/100</f>
        <v>0.75</v>
      </c>
      <c r="H8" s="45">
        <f>('BMP Suitability 01'!H8*'BMP Removal Rates'!$H$38)/100</f>
        <v>0.95</v>
      </c>
      <c r="I8" s="45">
        <f>('BMP Suitability 01'!I8*'BMP Removal Rates'!$I$38)/100</f>
        <v>0.85</v>
      </c>
      <c r="J8" s="45">
        <f>('BMP Suitability 01'!J8*'BMP Removal Rates'!$J$38)/100</f>
        <v>0.9</v>
      </c>
      <c r="K8" s="45">
        <f>('BMP Suitability 01'!K8*'BMP Removal Rates'!$K$38)/100</f>
        <v>0.75</v>
      </c>
      <c r="L8" s="45">
        <f>('BMP Suitability 01'!L8*'BMP Removal Rates'!$L$38)/100</f>
        <v>0</v>
      </c>
      <c r="M8" s="45">
        <f>('BMP Suitability 01'!M8*'BMP Removal Rates'!$M$38)/100</f>
        <v>0</v>
      </c>
      <c r="N8" s="110">
        <f>IF('(STEP 1) Baseline Conditions'!$B$6="Poor",('BMP Suitability 01'!N8*'BMP Removal Rates'!N$41)/100, IF('(STEP 1) Baseline Conditions'!$B$6="Average", ('BMP Suitability 01'!N8*'BMP Removal Rates'!N$42)/100, IF('(STEP 1) Baseline Conditions'!$B$6="Best",('BMP Suitability 01'!N8*'BMP Removal Rates'!N$38)/100)))</f>
        <v>0.82</v>
      </c>
      <c r="O8" s="110">
        <f>IF('(STEP 1) Baseline Conditions'!$B$6="Poor",('BMP Suitability 01'!O8*'BMP Removal Rates'!O$41)/100, IF('(STEP 1) Baseline Conditions'!$B$6="Average", ('BMP Suitability 01'!O8*'BMP Removal Rates'!O$42)/100, IF('(STEP 1) Baseline Conditions'!$B$6="Best",('BMP Suitability 01'!O8*'BMP Removal Rates'!O$38)/100)))</f>
        <v>0.21</v>
      </c>
      <c r="P8" s="110">
        <f>IF('(STEP 1) Baseline Conditions'!$B$6="Poor",('BMP Suitability 01'!P8*'BMP Removal Rates'!P$41)/100, IF('(STEP 1) Baseline Conditions'!$B$6="Average", ('BMP Suitability 01'!P8*'BMP Removal Rates'!P$42)/100, IF('(STEP 1) Baseline Conditions'!$B$6="Best",('BMP Suitability 01'!P8*'BMP Removal Rates'!P$38)/100)))</f>
        <v>0</v>
      </c>
      <c r="Q8" s="110">
        <f>IF('(STEP 1) Baseline Conditions'!$B$6="Poor",('BMP Suitability 01'!Q8*'BMP Removal Rates'!Q$41)/100, IF('(STEP 1) Baseline Conditions'!$B$6="Average", ('BMP Suitability 01'!Q8*'BMP Removal Rates'!Q$42)/100, IF('(STEP 1) Baseline Conditions'!$B$6="Best",('BMP Suitability 01'!Q8*'BMP Removal Rates'!Q$38)/100)))</f>
        <v>0</v>
      </c>
      <c r="R8" s="110">
        <f>IF('(STEP 1) Baseline Conditions'!$B$6="Poor",('BMP Suitability 01'!R8*'BMP Removal Rates'!R$41)/100, IF('(STEP 1) Baseline Conditions'!$B$6="Average", ('BMP Suitability 01'!R8*'BMP Removal Rates'!R$42)/100, IF('(STEP 1) Baseline Conditions'!$B$6="Best",('BMP Suitability 01'!R8*'BMP Removal Rates'!R$38)/100)))</f>
        <v>0</v>
      </c>
      <c r="S8" s="110">
        <f>IF('(STEP 1) Baseline Conditions'!$B$6="Poor",('BMP Suitability 01'!S8*'BMP Removal Rates'!S$41)/100, IF('(STEP 1) Baseline Conditions'!$B$6="Average", ('BMP Suitability 01'!S8*'BMP Removal Rates'!S$42)/100, IF('(STEP 1) Baseline Conditions'!$B$6="Best",('BMP Suitability 01'!S8*'BMP Removal Rates'!S$38)/100)))</f>
        <v>0</v>
      </c>
      <c r="T8" s="110">
        <f>IF('(STEP 1) Baseline Conditions'!$B$6="Poor",('BMP Suitability 01'!T8*'BMP Removal Rates'!T$41)/100, IF('(STEP 1) Baseline Conditions'!$B$6="Average", ('BMP Suitability 01'!T8*'BMP Removal Rates'!T$42)/100, IF('(STEP 1) Baseline Conditions'!$B$6="Best",('BMP Suitability 01'!T8*'BMP Removal Rates'!T$38)/100)))</f>
        <v>0.79749999999999999</v>
      </c>
      <c r="U8" s="110">
        <f>IF('(STEP 1) Baseline Conditions'!$B$6="Poor",('BMP Suitability 01'!U8*'BMP Removal Rates'!U$41)/100, IF('(STEP 1) Baseline Conditions'!$B$6="Average", ('BMP Suitability 01'!U8*'BMP Removal Rates'!U$42)/100, IF('(STEP 1) Baseline Conditions'!$B$6="Best",('BMP Suitability 01'!U8*'BMP Removal Rates'!U$38)/100)))</f>
        <v>0.52500000000000002</v>
      </c>
      <c r="V8" s="110">
        <f>IF('(STEP 1) Baseline Conditions'!$B$6="Poor",('BMP Suitability 01'!V8*'BMP Removal Rates'!V$41)/100, IF('(STEP 1) Baseline Conditions'!$B$6="Average", ('BMP Suitability 01'!V8*'BMP Removal Rates'!V$42)/100, IF('(STEP 1) Baseline Conditions'!$B$6="Best",('BMP Suitability 01'!V8*'BMP Removal Rates'!V$38)/100)))</f>
        <v>0.72750000000000004</v>
      </c>
      <c r="W8" s="110">
        <f>IF('(STEP 1) Baseline Conditions'!$B$6="Poor",('BMP Suitability 01'!W8*'BMP Removal Rates'!W$41)/100, IF('(STEP 1) Baseline Conditions'!$B$6="Average", ('BMP Suitability 01'!W8*'BMP Removal Rates'!W$42)/100, IF('(STEP 1) Baseline Conditions'!$B$6="Best",('BMP Suitability 01'!W8*'BMP Removal Rates'!W$38)/100)))</f>
        <v>0.755</v>
      </c>
      <c r="X8" s="110">
        <f>IF('(STEP 1) Baseline Conditions'!$B$6="Poor",('BMP Suitability 01'!X8*'BMP Removal Rates'!X$41)/100, IF('(STEP 1) Baseline Conditions'!$B$6="Average", ('BMP Suitability 01'!X8*'BMP Removal Rates'!X$42)/100, IF('(STEP 1) Baseline Conditions'!$B$6="Best",('BMP Suitability 01'!X8*'BMP Removal Rates'!X$38)/100)))</f>
        <v>0</v>
      </c>
      <c r="Y8" s="110">
        <f>IF('(STEP 1) Baseline Conditions'!$B$6="Poor",('BMP Suitability 01'!Y8*'BMP Removal Rates'!Y$41)/100, IF('(STEP 1) Baseline Conditions'!$B$6="Average", ('BMP Suitability 01'!Y8*'BMP Removal Rates'!Y$42)/100, IF('(STEP 1) Baseline Conditions'!$B$6="Best",('BMP Suitability 01'!Y8*'BMP Removal Rates'!Y$38)/100)))</f>
        <v>0</v>
      </c>
      <c r="Z8" s="110">
        <f>IF('(STEP 1) Baseline Conditions'!$B$6="Poor",('BMP Suitability 01'!Z8*'BMP Removal Rates'!Z$41)/100, IF('(STEP 1) Baseline Conditions'!$B$6="Average", ('BMP Suitability 01'!Z8*'BMP Removal Rates'!Z$42)/100, IF('(STEP 1) Baseline Conditions'!$B$6="Best",('BMP Suitability 01'!Z8*'BMP Removal Rates'!Z$38)/100)))</f>
        <v>0.75</v>
      </c>
      <c r="AA8" s="110">
        <f>IF('(STEP 1) Baseline Conditions'!$B$6="Poor",('BMP Suitability 01'!AA8*'BMP Removal Rates'!AA$41)/100, IF('(STEP 1) Baseline Conditions'!$B$6="Average", ('BMP Suitability 01'!AA8*'BMP Removal Rates'!AA$42)/100, IF('(STEP 1) Baseline Conditions'!$B$6="Best",('BMP Suitability 01'!AA8*'BMP Removal Rates'!AA$38)/100)))</f>
        <v>0.71750000000000003</v>
      </c>
      <c r="AB8" s="110">
        <f>IF('(STEP 1) Baseline Conditions'!$B$6="Poor",('BMP Suitability 01'!AB8*'BMP Removal Rates'!AB$41)/100, IF('(STEP 1) Baseline Conditions'!$B$6="Average", ('BMP Suitability 01'!AB8*'BMP Removal Rates'!AB$42)/100, IF('(STEP 1) Baseline Conditions'!$B$6="Best",('BMP Suitability 01'!AB8*'BMP Removal Rates'!AB$38)/100)))</f>
        <v>0</v>
      </c>
      <c r="AC8" s="110">
        <f>IF('(STEP 1) Baseline Conditions'!$B$6="Poor",('BMP Suitability 01'!AC8*'BMP Removal Rates'!AC$41)/100, IF('(STEP 1) Baseline Conditions'!$B$6="Average", ('BMP Suitability 01'!AC8*'BMP Removal Rates'!AC$42)/100, IF('(STEP 1) Baseline Conditions'!$B$6="Best",('BMP Suitability 01'!AC8*'BMP Removal Rates'!AC$38)/100)))</f>
        <v>0</v>
      </c>
    </row>
    <row r="9" spans="1:29" x14ac:dyDescent="0.25">
      <c r="A9" s="3" t="s">
        <v>88</v>
      </c>
      <c r="B9" s="45">
        <f>IF(INDEX('Dosskey Coefficients'!$N$2:$N$20,MATCH('(STEP 1) Baseline Conditions'!$B$14,'Dosskey Coefficients'!$K$2:$K$20,0),0)&lt;0,('BMP Suitability 01'!B9*'BMP Removal Rates'!$B$38)/100, 'BMP Suitability 01'!B9*'BMP Removal Rates'!$B$39/100)</f>
        <v>0</v>
      </c>
      <c r="C9" s="45">
        <f>IF(INDEX('Dosskey Coefficients'!$N$2:$N$20,MATCH('(STEP 1) Baseline Conditions'!$B$14,'Dosskey Coefficients'!$K$2:$K$20,0),0)&lt;0,('BMP Suitability 01'!C9*$C$38)/100, 'BMP Suitability 01'!C9*$C$39/100)</f>
        <v>0</v>
      </c>
      <c r="D9" s="45">
        <f>IF('(STEP 1) Baseline Conditions'!$B$6="Poor",('BMP Suitability 01'!D9*'BMP Removal Rates'!D$41)/100, IF('(STEP 1) Baseline Conditions'!$B$6="Average", ('BMP Suitability 01'!D9*'BMP Removal Rates'!D$42)/100, IF('(STEP 1) Baseline Conditions'!$B$6="Best",('BMP Suitability 01'!D9*'BMP Removal Rates'!D$38)/100)))</f>
        <v>0.47</v>
      </c>
      <c r="E9" s="45">
        <f>('BMP Suitability 01'!E9*'BMP Removal Rates'!$E$38)/100</f>
        <v>0.38500000000000001</v>
      </c>
      <c r="F9" s="45">
        <f>('BMP Suitability 01'!F9*'BMP Removal Rates'!$F$38)/100</f>
        <v>0.4</v>
      </c>
      <c r="G9" s="45">
        <f>('BMP Suitability 01'!G9*'BMP Removal Rates'!$G$38)/100</f>
        <v>0.75</v>
      </c>
      <c r="H9" s="45">
        <f>('BMP Suitability 01'!H9*'BMP Removal Rates'!$H$38)/100</f>
        <v>0.95</v>
      </c>
      <c r="I9" s="45">
        <f>('BMP Suitability 01'!I9*'BMP Removal Rates'!$I$38)/100</f>
        <v>0.85</v>
      </c>
      <c r="J9" s="45">
        <f>('BMP Suitability 01'!J9*'BMP Removal Rates'!$J$38)/100</f>
        <v>0.9</v>
      </c>
      <c r="K9" s="45">
        <f>('BMP Suitability 01'!K9*'BMP Removal Rates'!$K$38)/100</f>
        <v>0.75</v>
      </c>
      <c r="L9" s="45">
        <f>('BMP Suitability 01'!L9*'BMP Removal Rates'!$L$38)/100</f>
        <v>0</v>
      </c>
      <c r="M9" s="45">
        <f>('BMP Suitability 01'!M9*'BMP Removal Rates'!$M$38)/100</f>
        <v>0</v>
      </c>
      <c r="N9" s="110">
        <f>IF('(STEP 1) Baseline Conditions'!$B$6="Poor",('BMP Suitability 01'!N9*'BMP Removal Rates'!N$41)/100, IF('(STEP 1) Baseline Conditions'!$B$6="Average", ('BMP Suitability 01'!N9*'BMP Removal Rates'!N$42)/100, IF('(STEP 1) Baseline Conditions'!$B$6="Best",('BMP Suitability 01'!N9*'BMP Removal Rates'!N$38)/100)))</f>
        <v>0.82</v>
      </c>
      <c r="O9" s="110">
        <f>IF('(STEP 1) Baseline Conditions'!$B$6="Poor",('BMP Suitability 01'!O9*'BMP Removal Rates'!O$41)/100, IF('(STEP 1) Baseline Conditions'!$B$6="Average", ('BMP Suitability 01'!O9*'BMP Removal Rates'!O$42)/100, IF('(STEP 1) Baseline Conditions'!$B$6="Best",('BMP Suitability 01'!O9*'BMP Removal Rates'!O$38)/100)))</f>
        <v>0.21</v>
      </c>
      <c r="P9" s="110">
        <f>IF('(STEP 1) Baseline Conditions'!$B$6="Poor",('BMP Suitability 01'!P9*'BMP Removal Rates'!P$41)/100, IF('(STEP 1) Baseline Conditions'!$B$6="Average", ('BMP Suitability 01'!P9*'BMP Removal Rates'!P$42)/100, IF('(STEP 1) Baseline Conditions'!$B$6="Best",('BMP Suitability 01'!P9*'BMP Removal Rates'!P$38)/100)))</f>
        <v>0</v>
      </c>
      <c r="Q9" s="110">
        <f>IF('(STEP 1) Baseline Conditions'!$B$6="Poor",('BMP Suitability 01'!Q9*'BMP Removal Rates'!Q$41)/100, IF('(STEP 1) Baseline Conditions'!$B$6="Average", ('BMP Suitability 01'!Q9*'BMP Removal Rates'!Q$42)/100, IF('(STEP 1) Baseline Conditions'!$B$6="Best",('BMP Suitability 01'!Q9*'BMP Removal Rates'!Q$38)/100)))</f>
        <v>0</v>
      </c>
      <c r="R9" s="110">
        <f>IF('(STEP 1) Baseline Conditions'!$B$6="Poor",('BMP Suitability 01'!R9*'BMP Removal Rates'!R$41)/100, IF('(STEP 1) Baseline Conditions'!$B$6="Average", ('BMP Suitability 01'!R9*'BMP Removal Rates'!R$42)/100, IF('(STEP 1) Baseline Conditions'!$B$6="Best",('BMP Suitability 01'!R9*'BMP Removal Rates'!R$38)/100)))</f>
        <v>0</v>
      </c>
      <c r="S9" s="110">
        <f>IF('(STEP 1) Baseline Conditions'!$B$6="Poor",('BMP Suitability 01'!S9*'BMP Removal Rates'!S$41)/100, IF('(STEP 1) Baseline Conditions'!$B$6="Average", ('BMP Suitability 01'!S9*'BMP Removal Rates'!S$42)/100, IF('(STEP 1) Baseline Conditions'!$B$6="Best",('BMP Suitability 01'!S9*'BMP Removal Rates'!S$38)/100)))</f>
        <v>0</v>
      </c>
      <c r="T9" s="110">
        <f>IF('(STEP 1) Baseline Conditions'!$B$6="Poor",('BMP Suitability 01'!T9*'BMP Removal Rates'!T$41)/100, IF('(STEP 1) Baseline Conditions'!$B$6="Average", ('BMP Suitability 01'!T9*'BMP Removal Rates'!T$42)/100, IF('(STEP 1) Baseline Conditions'!$B$6="Best",('BMP Suitability 01'!T9*'BMP Removal Rates'!T$38)/100)))</f>
        <v>0.79749999999999999</v>
      </c>
      <c r="U9" s="110">
        <f>IF('(STEP 1) Baseline Conditions'!$B$6="Poor",('BMP Suitability 01'!U9*'BMP Removal Rates'!U$41)/100, IF('(STEP 1) Baseline Conditions'!$B$6="Average", ('BMP Suitability 01'!U9*'BMP Removal Rates'!U$42)/100, IF('(STEP 1) Baseline Conditions'!$B$6="Best",('BMP Suitability 01'!U9*'BMP Removal Rates'!U$38)/100)))</f>
        <v>0.52500000000000002</v>
      </c>
      <c r="V9" s="110">
        <f>IF('(STEP 1) Baseline Conditions'!$B$6="Poor",('BMP Suitability 01'!V9*'BMP Removal Rates'!V$41)/100, IF('(STEP 1) Baseline Conditions'!$B$6="Average", ('BMP Suitability 01'!V9*'BMP Removal Rates'!V$42)/100, IF('(STEP 1) Baseline Conditions'!$B$6="Best",('BMP Suitability 01'!V9*'BMP Removal Rates'!V$38)/100)))</f>
        <v>0.72750000000000004</v>
      </c>
      <c r="W9" s="110">
        <f>IF('(STEP 1) Baseline Conditions'!$B$6="Poor",('BMP Suitability 01'!W9*'BMP Removal Rates'!W$41)/100, IF('(STEP 1) Baseline Conditions'!$B$6="Average", ('BMP Suitability 01'!W9*'BMP Removal Rates'!W$42)/100, IF('(STEP 1) Baseline Conditions'!$B$6="Best",('BMP Suitability 01'!W9*'BMP Removal Rates'!W$38)/100)))</f>
        <v>0.755</v>
      </c>
      <c r="X9" s="110">
        <f>IF('(STEP 1) Baseline Conditions'!$B$6="Poor",('BMP Suitability 01'!X9*'BMP Removal Rates'!X$41)/100, IF('(STEP 1) Baseline Conditions'!$B$6="Average", ('BMP Suitability 01'!X9*'BMP Removal Rates'!X$42)/100, IF('(STEP 1) Baseline Conditions'!$B$6="Best",('BMP Suitability 01'!X9*'BMP Removal Rates'!X$38)/100)))</f>
        <v>0.85</v>
      </c>
      <c r="Y9" s="110">
        <f>IF('(STEP 1) Baseline Conditions'!$B$6="Poor",('BMP Suitability 01'!Y9*'BMP Removal Rates'!Y$41)/100, IF('(STEP 1) Baseline Conditions'!$B$6="Average", ('BMP Suitability 01'!Y9*'BMP Removal Rates'!Y$42)/100, IF('(STEP 1) Baseline Conditions'!$B$6="Best",('BMP Suitability 01'!Y9*'BMP Removal Rates'!Y$38)/100)))</f>
        <v>0.22</v>
      </c>
      <c r="Z9" s="110">
        <f>IF('(STEP 1) Baseline Conditions'!$B$6="Poor",('BMP Suitability 01'!Z9*'BMP Removal Rates'!Z$41)/100, IF('(STEP 1) Baseline Conditions'!$B$6="Average", ('BMP Suitability 01'!Z9*'BMP Removal Rates'!Z$42)/100, IF('(STEP 1) Baseline Conditions'!$B$6="Best",('BMP Suitability 01'!Z9*'BMP Removal Rates'!Z$38)/100)))</f>
        <v>0.75</v>
      </c>
      <c r="AA9" s="110">
        <f>IF('(STEP 1) Baseline Conditions'!$B$6="Poor",('BMP Suitability 01'!AA9*'BMP Removal Rates'!AA$41)/100, IF('(STEP 1) Baseline Conditions'!$B$6="Average", ('BMP Suitability 01'!AA9*'BMP Removal Rates'!AA$42)/100, IF('(STEP 1) Baseline Conditions'!$B$6="Best",('BMP Suitability 01'!AA9*'BMP Removal Rates'!AA$38)/100)))</f>
        <v>0.71750000000000003</v>
      </c>
      <c r="AB9" s="110">
        <f>IF('(STEP 1) Baseline Conditions'!$B$6="Poor",('BMP Suitability 01'!AB9*'BMP Removal Rates'!AB$41)/100, IF('(STEP 1) Baseline Conditions'!$B$6="Average", ('BMP Suitability 01'!AB9*'BMP Removal Rates'!AB$42)/100, IF('(STEP 1) Baseline Conditions'!$B$6="Best",('BMP Suitability 01'!AB9*'BMP Removal Rates'!AB$38)/100)))</f>
        <v>0</v>
      </c>
      <c r="AC9" s="110">
        <f>IF('(STEP 1) Baseline Conditions'!$B$6="Poor",('BMP Suitability 01'!AC9*'BMP Removal Rates'!AC$41)/100, IF('(STEP 1) Baseline Conditions'!$B$6="Average", ('BMP Suitability 01'!AC9*'BMP Removal Rates'!AC$42)/100, IF('(STEP 1) Baseline Conditions'!$B$6="Best",('BMP Suitability 01'!AC9*'BMP Removal Rates'!AC$38)/100)))</f>
        <v>0</v>
      </c>
    </row>
    <row r="10" spans="1:29" x14ac:dyDescent="0.25">
      <c r="A10" s="3" t="s">
        <v>89</v>
      </c>
      <c r="B10" s="45">
        <f>IF(INDEX('Dosskey Coefficients'!$N$2:$N$20,MATCH('(STEP 1) Baseline Conditions'!$B$14,'Dosskey Coefficients'!$K$2:$K$20,0),0)&lt;0,('BMP Suitability 01'!B10*'BMP Removal Rates'!$B$38)/100, 'BMP Suitability 01'!B10*'BMP Removal Rates'!$B$39/100)</f>
        <v>0</v>
      </c>
      <c r="C10" s="45">
        <f>IF(INDEX('Dosskey Coefficients'!$N$2:$N$20,MATCH('(STEP 1) Baseline Conditions'!$B$14,'Dosskey Coefficients'!$K$2:$K$20,0),0)&lt;0,('BMP Suitability 01'!C10*$C$38)/100, 'BMP Suitability 01'!C10*$C$39/100)</f>
        <v>0</v>
      </c>
      <c r="D10" s="45">
        <f>('BMP Suitability 01'!D10*'BMP Removal Rates'!$D$38)/100</f>
        <v>0.62</v>
      </c>
      <c r="E10" s="45">
        <f>('BMP Suitability 01'!E10*'BMP Removal Rates'!$E$38)/100</f>
        <v>0.38500000000000001</v>
      </c>
      <c r="F10" s="45">
        <f>('BMP Suitability 01'!F10*'BMP Removal Rates'!$F$38)/100</f>
        <v>0.4</v>
      </c>
      <c r="G10" s="45">
        <f>('BMP Suitability 01'!G10*'BMP Removal Rates'!$G$38)/100</f>
        <v>0.75</v>
      </c>
      <c r="H10" s="45">
        <f>('BMP Suitability 01'!H10*'BMP Removal Rates'!$H$38)/100</f>
        <v>0</v>
      </c>
      <c r="I10" s="45">
        <f>('BMP Suitability 01'!I10*'BMP Removal Rates'!$I$38)/100</f>
        <v>0</v>
      </c>
      <c r="J10" s="45">
        <f>('BMP Suitability 01'!J10*'BMP Removal Rates'!$J$38)/100</f>
        <v>0.9</v>
      </c>
      <c r="K10" s="45">
        <f>('BMP Suitability 01'!K10*'BMP Removal Rates'!$K$38)/100</f>
        <v>0.75</v>
      </c>
      <c r="L10" s="45">
        <f>('BMP Suitability 01'!L10*'BMP Removal Rates'!$L$38)/100</f>
        <v>0</v>
      </c>
      <c r="M10" s="45">
        <f>('BMP Suitability 01'!M10*'BMP Removal Rates'!$M$38)/100</f>
        <v>0</v>
      </c>
      <c r="N10" s="110">
        <f>IF('(STEP 1) Baseline Conditions'!$B$6="Poor",('BMP Suitability 01'!N10*'BMP Removal Rates'!N$41)/100, IF('(STEP 1) Baseline Conditions'!$B$6="Average", ('BMP Suitability 01'!N10*'BMP Removal Rates'!N$42)/100, IF('(STEP 1) Baseline Conditions'!$B$6="Best",('BMP Suitability 01'!N10*'BMP Removal Rates'!N$38)/100)))</f>
        <v>0.82</v>
      </c>
      <c r="O10" s="110">
        <f>IF('(STEP 1) Baseline Conditions'!$B$6="Poor",('BMP Suitability 01'!O10*'BMP Removal Rates'!O$41)/100, IF('(STEP 1) Baseline Conditions'!$B$6="Average", ('BMP Suitability 01'!O10*'BMP Removal Rates'!O$42)/100, IF('(STEP 1) Baseline Conditions'!$B$6="Best",('BMP Suitability 01'!O10*'BMP Removal Rates'!O$38)/100)))</f>
        <v>0.21</v>
      </c>
      <c r="P10" s="110">
        <f>IF('(STEP 1) Baseline Conditions'!$B$6="Poor",('BMP Suitability 01'!P10*'BMP Removal Rates'!P$41)/100, IF('(STEP 1) Baseline Conditions'!$B$6="Average", ('BMP Suitability 01'!P10*'BMP Removal Rates'!P$42)/100, IF('(STEP 1) Baseline Conditions'!$B$6="Best",('BMP Suitability 01'!P10*'BMP Removal Rates'!P$38)/100)))</f>
        <v>0</v>
      </c>
      <c r="Q10" s="110">
        <f>IF('(STEP 1) Baseline Conditions'!$B$6="Poor",('BMP Suitability 01'!Q10*'BMP Removal Rates'!Q$41)/100, IF('(STEP 1) Baseline Conditions'!$B$6="Average", ('BMP Suitability 01'!Q10*'BMP Removal Rates'!Q$42)/100, IF('(STEP 1) Baseline Conditions'!$B$6="Best",('BMP Suitability 01'!Q10*'BMP Removal Rates'!Q$38)/100)))</f>
        <v>0</v>
      </c>
      <c r="R10" s="110">
        <f>IF('(STEP 1) Baseline Conditions'!$B$6="Poor",('BMP Suitability 01'!R10*'BMP Removal Rates'!R$41)/100, IF('(STEP 1) Baseline Conditions'!$B$6="Average", ('BMP Suitability 01'!R10*'BMP Removal Rates'!R$42)/100, IF('(STEP 1) Baseline Conditions'!$B$6="Best",('BMP Suitability 01'!R10*'BMP Removal Rates'!R$38)/100)))</f>
        <v>0</v>
      </c>
      <c r="S10" s="110">
        <f>IF('(STEP 1) Baseline Conditions'!$B$6="Poor",('BMP Suitability 01'!S10*'BMP Removal Rates'!S$41)/100, IF('(STEP 1) Baseline Conditions'!$B$6="Average", ('BMP Suitability 01'!S10*'BMP Removal Rates'!S$42)/100, IF('(STEP 1) Baseline Conditions'!$B$6="Best",('BMP Suitability 01'!S10*'BMP Removal Rates'!S$38)/100)))</f>
        <v>0</v>
      </c>
      <c r="T10" s="110">
        <f>IF('(STEP 1) Baseline Conditions'!$B$6="Poor",('BMP Suitability 01'!T10*'BMP Removal Rates'!T$41)/100, IF('(STEP 1) Baseline Conditions'!$B$6="Average", ('BMP Suitability 01'!T10*'BMP Removal Rates'!T$42)/100, IF('(STEP 1) Baseline Conditions'!$B$6="Best",('BMP Suitability 01'!T10*'BMP Removal Rates'!T$38)/100)))</f>
        <v>0</v>
      </c>
      <c r="U10" s="110">
        <f>IF('(STEP 1) Baseline Conditions'!$B$6="Poor",('BMP Suitability 01'!U10*'BMP Removal Rates'!U$41)/100, IF('(STEP 1) Baseline Conditions'!$B$6="Average", ('BMP Suitability 01'!U10*'BMP Removal Rates'!U$42)/100, IF('(STEP 1) Baseline Conditions'!$B$6="Best",('BMP Suitability 01'!U10*'BMP Removal Rates'!U$38)/100)))</f>
        <v>0</v>
      </c>
      <c r="V10" s="110">
        <f>IF('(STEP 1) Baseline Conditions'!$B$6="Poor",('BMP Suitability 01'!V10*'BMP Removal Rates'!V$41)/100, IF('(STEP 1) Baseline Conditions'!$B$6="Average", ('BMP Suitability 01'!V10*'BMP Removal Rates'!V$42)/100, IF('(STEP 1) Baseline Conditions'!$B$6="Best",('BMP Suitability 01'!V10*'BMP Removal Rates'!V$38)/100)))</f>
        <v>0.72750000000000004</v>
      </c>
      <c r="W10" s="110">
        <f>IF('(STEP 1) Baseline Conditions'!$B$6="Poor",('BMP Suitability 01'!W10*'BMP Removal Rates'!W$41)/100, IF('(STEP 1) Baseline Conditions'!$B$6="Average", ('BMP Suitability 01'!W10*'BMP Removal Rates'!W$42)/100, IF('(STEP 1) Baseline Conditions'!$B$6="Best",('BMP Suitability 01'!W10*'BMP Removal Rates'!W$38)/100)))</f>
        <v>0.755</v>
      </c>
      <c r="X10" s="110">
        <f>IF('(STEP 1) Baseline Conditions'!$B$6="Poor",('BMP Suitability 01'!X10*'BMP Removal Rates'!X$41)/100, IF('(STEP 1) Baseline Conditions'!$B$6="Average", ('BMP Suitability 01'!X10*'BMP Removal Rates'!X$42)/100, IF('(STEP 1) Baseline Conditions'!$B$6="Best",('BMP Suitability 01'!X10*'BMP Removal Rates'!X$38)/100)))</f>
        <v>0.85</v>
      </c>
      <c r="Y10" s="110">
        <f>IF('(STEP 1) Baseline Conditions'!$B$6="Poor",('BMP Suitability 01'!Y10*'BMP Removal Rates'!Y$41)/100, IF('(STEP 1) Baseline Conditions'!$B$6="Average", ('BMP Suitability 01'!Y10*'BMP Removal Rates'!Y$42)/100, IF('(STEP 1) Baseline Conditions'!$B$6="Best",('BMP Suitability 01'!Y10*'BMP Removal Rates'!Y$38)/100)))</f>
        <v>0.22</v>
      </c>
      <c r="Z10" s="110">
        <f>IF('(STEP 1) Baseline Conditions'!$B$6="Poor",('BMP Suitability 01'!Z10*'BMP Removal Rates'!Z$41)/100, IF('(STEP 1) Baseline Conditions'!$B$6="Average", ('BMP Suitability 01'!Z10*'BMP Removal Rates'!Z$42)/100, IF('(STEP 1) Baseline Conditions'!$B$6="Best",('BMP Suitability 01'!Z10*'BMP Removal Rates'!Z$38)/100)))</f>
        <v>0</v>
      </c>
      <c r="AA10" s="110">
        <f>IF('(STEP 1) Baseline Conditions'!$B$6="Poor",('BMP Suitability 01'!AA10*'BMP Removal Rates'!AA$41)/100, IF('(STEP 1) Baseline Conditions'!$B$6="Average", ('BMP Suitability 01'!AA10*'BMP Removal Rates'!AA$42)/100, IF('(STEP 1) Baseline Conditions'!$B$6="Best",('BMP Suitability 01'!AA10*'BMP Removal Rates'!AA$38)/100)))</f>
        <v>0</v>
      </c>
      <c r="AB10" s="110">
        <f>IF('(STEP 1) Baseline Conditions'!$B$6="Poor",('BMP Suitability 01'!AB10*'BMP Removal Rates'!AB$41)/100, IF('(STEP 1) Baseline Conditions'!$B$6="Average", ('BMP Suitability 01'!AB10*'BMP Removal Rates'!AB$42)/100, IF('(STEP 1) Baseline Conditions'!$B$6="Best",('BMP Suitability 01'!AB10*'BMP Removal Rates'!AB$38)/100)))</f>
        <v>0.55437499999999995</v>
      </c>
      <c r="AC10" s="110">
        <f>IF('(STEP 1) Baseline Conditions'!$B$6="Poor",('BMP Suitability 01'!AC10*'BMP Removal Rates'!AC$41)/100, IF('(STEP 1) Baseline Conditions'!$B$6="Average", ('BMP Suitability 01'!AC10*'BMP Removal Rates'!AC$42)/100, IF('(STEP 1) Baseline Conditions'!$B$6="Best",('BMP Suitability 01'!AC10*'BMP Removal Rates'!AC$38)/100)))</f>
        <v>0.62</v>
      </c>
    </row>
    <row r="11" spans="1:29" x14ac:dyDescent="0.25">
      <c r="A11" s="3" t="s">
        <v>26</v>
      </c>
      <c r="B11" s="45">
        <f>IF(INDEX('Dosskey Coefficients'!$N$2:$N$20,MATCH('(STEP 1) Baseline Conditions'!$B$14,'Dosskey Coefficients'!$K$2:$K$20,0),0)&lt;0,('BMP Suitability 01'!B11*'BMP Removal Rates'!$B$38)/100, 'BMP Suitability 01'!B11*'BMP Removal Rates'!$B$39/100)</f>
        <v>0.87</v>
      </c>
      <c r="C11" s="45">
        <f>IF(INDEX('Dosskey Coefficients'!$N$2:$N$20,MATCH('(STEP 1) Baseline Conditions'!$B$14,'Dosskey Coefficients'!$K$2:$K$20,0),0)&lt;0,('BMP Suitability 01'!C11*$C$38)/100, 'BMP Suitability 01'!C11*$C$39/100)</f>
        <v>0.64500000000000002</v>
      </c>
      <c r="D11" s="45">
        <f>('BMP Suitability 01'!D11*'BMP Removal Rates'!$D$38)/100</f>
        <v>0.62</v>
      </c>
      <c r="E11" s="45">
        <f>('BMP Suitability 01'!E11*'BMP Removal Rates'!$E$38)/100</f>
        <v>0.38500000000000001</v>
      </c>
      <c r="F11" s="45">
        <f>('BMP Suitability 01'!F11*'BMP Removal Rates'!$F$38)/100</f>
        <v>0.4</v>
      </c>
      <c r="G11" s="45">
        <f>('BMP Suitability 01'!G11*'BMP Removal Rates'!$G$38)/100</f>
        <v>0.75</v>
      </c>
      <c r="H11" s="45">
        <f>('BMP Suitability 01'!H11*'BMP Removal Rates'!$H$38)/100</f>
        <v>0.95</v>
      </c>
      <c r="I11" s="45">
        <f>('BMP Suitability 01'!I11*'BMP Removal Rates'!$I$38)/100</f>
        <v>0.85</v>
      </c>
      <c r="J11" s="45">
        <f>('BMP Suitability 01'!J11*'BMP Removal Rates'!$J$38)/100</f>
        <v>0.9</v>
      </c>
      <c r="K11" s="45">
        <f>('BMP Suitability 01'!K11*'BMP Removal Rates'!$K$38)/100</f>
        <v>0.75</v>
      </c>
      <c r="L11" s="45">
        <f>('BMP Suitability 01'!L11*'BMP Removal Rates'!$L$38)/100</f>
        <v>0</v>
      </c>
      <c r="M11" s="45">
        <f>('BMP Suitability 01'!M11*'BMP Removal Rates'!$M$38)/100</f>
        <v>0</v>
      </c>
      <c r="N11" s="110">
        <f>IF('(STEP 1) Baseline Conditions'!$B$6="Poor",('BMP Suitability 01'!N11*'BMP Removal Rates'!N$41)/100, IF('(STEP 1) Baseline Conditions'!$B$6="Average", ('BMP Suitability 01'!N11*'BMP Removal Rates'!N$42)/100, IF('(STEP 1) Baseline Conditions'!$B$6="Best",('BMP Suitability 01'!N11*'BMP Removal Rates'!N$38)/100)))</f>
        <v>0.82</v>
      </c>
      <c r="O11" s="110">
        <f>IF('(STEP 1) Baseline Conditions'!$B$6="Poor",('BMP Suitability 01'!O11*'BMP Removal Rates'!O$41)/100, IF('(STEP 1) Baseline Conditions'!$B$6="Average", ('BMP Suitability 01'!O11*'BMP Removal Rates'!O$42)/100, IF('(STEP 1) Baseline Conditions'!$B$6="Best",('BMP Suitability 01'!O11*'BMP Removal Rates'!O$38)/100)))</f>
        <v>0.21</v>
      </c>
      <c r="P11" s="110">
        <f>IF('(STEP 1) Baseline Conditions'!$B$6="Poor",('BMP Suitability 01'!P11*'BMP Removal Rates'!P$41)/100, IF('(STEP 1) Baseline Conditions'!$B$6="Average", ('BMP Suitability 01'!P11*'BMP Removal Rates'!P$42)/100, IF('(STEP 1) Baseline Conditions'!$B$6="Best",('BMP Suitability 01'!P11*'BMP Removal Rates'!P$38)/100)))</f>
        <v>0.83750000000000002</v>
      </c>
      <c r="Q11" s="110">
        <f>IF('(STEP 1) Baseline Conditions'!$B$6="Poor",('BMP Suitability 01'!Q11*'BMP Removal Rates'!Q$41)/100, IF('(STEP 1) Baseline Conditions'!$B$6="Average", ('BMP Suitability 01'!Q11*'BMP Removal Rates'!Q$42)/100, IF('(STEP 1) Baseline Conditions'!$B$6="Best",('BMP Suitability 01'!Q11*'BMP Removal Rates'!Q$38)/100)))</f>
        <v>0.73750000000000004</v>
      </c>
      <c r="R11" s="110">
        <f>IF('(STEP 1) Baseline Conditions'!$B$6="Poor",('BMP Suitability 01'!R11*'BMP Removal Rates'!R$41)/100, IF('(STEP 1) Baseline Conditions'!$B$6="Average", ('BMP Suitability 01'!R11*'BMP Removal Rates'!R$42)/100, IF('(STEP 1) Baseline Conditions'!$B$6="Best",('BMP Suitability 01'!R11*'BMP Removal Rates'!R$38)/100)))</f>
        <v>0</v>
      </c>
      <c r="S11" s="110">
        <f>IF('(STEP 1) Baseline Conditions'!$B$6="Poor",('BMP Suitability 01'!S11*'BMP Removal Rates'!S$41)/100, IF('(STEP 1) Baseline Conditions'!$B$6="Average", ('BMP Suitability 01'!S11*'BMP Removal Rates'!S$42)/100, IF('(STEP 1) Baseline Conditions'!$B$6="Best",('BMP Suitability 01'!S11*'BMP Removal Rates'!S$38)/100)))</f>
        <v>0</v>
      </c>
      <c r="T11" s="110">
        <f>IF('(STEP 1) Baseline Conditions'!$B$6="Poor",('BMP Suitability 01'!T11*'BMP Removal Rates'!T$41)/100, IF('(STEP 1) Baseline Conditions'!$B$6="Average", ('BMP Suitability 01'!T11*'BMP Removal Rates'!T$42)/100, IF('(STEP 1) Baseline Conditions'!$B$6="Best",('BMP Suitability 01'!T11*'BMP Removal Rates'!T$38)/100)))</f>
        <v>0.79749999999999999</v>
      </c>
      <c r="U11" s="110">
        <f>IF('(STEP 1) Baseline Conditions'!$B$6="Poor",('BMP Suitability 01'!U11*'BMP Removal Rates'!U$41)/100, IF('(STEP 1) Baseline Conditions'!$B$6="Average", ('BMP Suitability 01'!U11*'BMP Removal Rates'!U$42)/100, IF('(STEP 1) Baseline Conditions'!$B$6="Best",('BMP Suitability 01'!U11*'BMP Removal Rates'!U$38)/100)))</f>
        <v>0.52500000000000002</v>
      </c>
      <c r="V11" s="110">
        <f>IF('(STEP 1) Baseline Conditions'!$B$6="Poor",('BMP Suitability 01'!V11*'BMP Removal Rates'!V$41)/100, IF('(STEP 1) Baseline Conditions'!$B$6="Average", ('BMP Suitability 01'!V11*'BMP Removal Rates'!V$42)/100, IF('(STEP 1) Baseline Conditions'!$B$6="Best",('BMP Suitability 01'!V11*'BMP Removal Rates'!V$38)/100)))</f>
        <v>0.72750000000000004</v>
      </c>
      <c r="W11" s="110">
        <f>IF('(STEP 1) Baseline Conditions'!$B$6="Poor",('BMP Suitability 01'!W11*'BMP Removal Rates'!W$41)/100, IF('(STEP 1) Baseline Conditions'!$B$6="Average", ('BMP Suitability 01'!W11*'BMP Removal Rates'!W$42)/100, IF('(STEP 1) Baseline Conditions'!$B$6="Best",('BMP Suitability 01'!W11*'BMP Removal Rates'!W$38)/100)))</f>
        <v>0.755</v>
      </c>
      <c r="X11" s="110">
        <f>IF('(STEP 1) Baseline Conditions'!$B$6="Poor",('BMP Suitability 01'!X11*'BMP Removal Rates'!X$41)/100, IF('(STEP 1) Baseline Conditions'!$B$6="Average", ('BMP Suitability 01'!X11*'BMP Removal Rates'!X$42)/100, IF('(STEP 1) Baseline Conditions'!$B$6="Best",('BMP Suitability 01'!X11*'BMP Removal Rates'!X$38)/100)))</f>
        <v>0.85</v>
      </c>
      <c r="Y11" s="110">
        <f>IF('(STEP 1) Baseline Conditions'!$B$6="Poor",('BMP Suitability 01'!Y11*'BMP Removal Rates'!Y$41)/100, IF('(STEP 1) Baseline Conditions'!$B$6="Average", ('BMP Suitability 01'!Y11*'BMP Removal Rates'!Y$42)/100, IF('(STEP 1) Baseline Conditions'!$B$6="Best",('BMP Suitability 01'!Y11*'BMP Removal Rates'!Y$38)/100)))</f>
        <v>0.22</v>
      </c>
      <c r="Z11" s="110">
        <f>IF('(STEP 1) Baseline Conditions'!$B$6="Poor",('BMP Suitability 01'!Z11*'BMP Removal Rates'!Z$41)/100, IF('(STEP 1) Baseline Conditions'!$B$6="Average", ('BMP Suitability 01'!Z11*'BMP Removal Rates'!Z$42)/100, IF('(STEP 1) Baseline Conditions'!$B$6="Best",('BMP Suitability 01'!Z11*'BMP Removal Rates'!Z$38)/100)))</f>
        <v>0</v>
      </c>
      <c r="AA11" s="110">
        <f>IF('(STEP 1) Baseline Conditions'!$B$6="Poor",('BMP Suitability 01'!AA11*'BMP Removal Rates'!AA$41)/100, IF('(STEP 1) Baseline Conditions'!$B$6="Average", ('BMP Suitability 01'!AA11*'BMP Removal Rates'!AA$42)/100, IF('(STEP 1) Baseline Conditions'!$B$6="Best",('BMP Suitability 01'!AA11*'BMP Removal Rates'!AA$38)/100)))</f>
        <v>0</v>
      </c>
      <c r="AB11" s="110">
        <f>IF('(STEP 1) Baseline Conditions'!$B$6="Poor",('BMP Suitability 01'!AB11*'BMP Removal Rates'!AB$41)/100, IF('(STEP 1) Baseline Conditions'!$B$6="Average", ('BMP Suitability 01'!AB11*'BMP Removal Rates'!AB$42)/100, IF('(STEP 1) Baseline Conditions'!$B$6="Best",('BMP Suitability 01'!AB11*'BMP Removal Rates'!AB$38)/100)))</f>
        <v>0.55437499999999995</v>
      </c>
      <c r="AC11" s="110">
        <f>IF('(STEP 1) Baseline Conditions'!$B$6="Poor",('BMP Suitability 01'!AC11*'BMP Removal Rates'!AC$41)/100, IF('(STEP 1) Baseline Conditions'!$B$6="Average", ('BMP Suitability 01'!AC11*'BMP Removal Rates'!AC$42)/100, IF('(STEP 1) Baseline Conditions'!$B$6="Best",('BMP Suitability 01'!AC11*'BMP Removal Rates'!AC$38)/100)))</f>
        <v>0.62</v>
      </c>
    </row>
    <row r="12" spans="1:29" x14ac:dyDescent="0.25">
      <c r="A12" s="3" t="s">
        <v>27</v>
      </c>
      <c r="B12" s="45">
        <f>IF(INDEX('Dosskey Coefficients'!$N$2:$N$20,MATCH('(STEP 1) Baseline Conditions'!$B$14,'Dosskey Coefficients'!$K$2:$K$20,0),0)&lt;0,('BMP Suitability 01'!B12*'BMP Removal Rates'!$B$38)/100, 'BMP Suitability 01'!B12*'BMP Removal Rates'!$B$39/100)</f>
        <v>0.87</v>
      </c>
      <c r="C12" s="45">
        <f>IF(INDEX('Dosskey Coefficients'!$N$2:$N$20,MATCH('(STEP 1) Baseline Conditions'!$B$14,'Dosskey Coefficients'!$K$2:$K$20,0),0)&lt;0,('BMP Suitability 01'!C12*$C$38)/100, 'BMP Suitability 01'!C12*$C$39/100)</f>
        <v>0.64500000000000002</v>
      </c>
      <c r="D12" s="45">
        <f>('BMP Suitability 01'!D12*'BMP Removal Rates'!$D$38)/100</f>
        <v>0.62</v>
      </c>
      <c r="E12" s="45">
        <f>('BMP Suitability 01'!E12*'BMP Removal Rates'!$E$38)/100</f>
        <v>0.38500000000000001</v>
      </c>
      <c r="F12" s="45">
        <f>('BMP Suitability 01'!F12*'BMP Removal Rates'!$F$38)/100</f>
        <v>0.4</v>
      </c>
      <c r="G12" s="45">
        <f>('BMP Suitability 01'!G12*'BMP Removal Rates'!$G$38)/100</f>
        <v>0.75</v>
      </c>
      <c r="H12" s="45">
        <f>('BMP Suitability 01'!H12*'BMP Removal Rates'!$H$38)/100</f>
        <v>0.95</v>
      </c>
      <c r="I12" s="45">
        <f>('BMP Suitability 01'!I12*'BMP Removal Rates'!$I$38)/100</f>
        <v>0.85</v>
      </c>
      <c r="J12" s="45">
        <f>('BMP Suitability 01'!J12*'BMP Removal Rates'!$J$38)/100</f>
        <v>0.9</v>
      </c>
      <c r="K12" s="45">
        <f>('BMP Suitability 01'!K12*'BMP Removal Rates'!$K$38)/100</f>
        <v>0.75</v>
      </c>
      <c r="L12" s="45">
        <f>('BMP Suitability 01'!L12*'BMP Removal Rates'!$L$38)/100</f>
        <v>0.69</v>
      </c>
      <c r="M12" s="45">
        <f>('BMP Suitability 01'!M12*'BMP Removal Rates'!$M$38)/100</f>
        <v>0.77500000000000002</v>
      </c>
      <c r="N12" s="110">
        <f>IF('(STEP 1) Baseline Conditions'!$B$6="Poor",('BMP Suitability 01'!N12*'BMP Removal Rates'!N$41)/100, IF('(STEP 1) Baseline Conditions'!$B$6="Average", ('BMP Suitability 01'!N12*'BMP Removal Rates'!N$42)/100, IF('(STEP 1) Baseline Conditions'!$B$6="Best",('BMP Suitability 01'!N12*'BMP Removal Rates'!N$38)/100)))</f>
        <v>0.82</v>
      </c>
      <c r="O12" s="110">
        <f>IF('(STEP 1) Baseline Conditions'!$B$6="Poor",('BMP Suitability 01'!O12*'BMP Removal Rates'!O$41)/100, IF('(STEP 1) Baseline Conditions'!$B$6="Average", ('BMP Suitability 01'!O12*'BMP Removal Rates'!O$42)/100, IF('(STEP 1) Baseline Conditions'!$B$6="Best",('BMP Suitability 01'!O12*'BMP Removal Rates'!O$38)/100)))</f>
        <v>0.21</v>
      </c>
      <c r="P12" s="110">
        <f>IF('(STEP 1) Baseline Conditions'!$B$6="Poor",('BMP Suitability 01'!P12*'BMP Removal Rates'!P$41)/100, IF('(STEP 1) Baseline Conditions'!$B$6="Average", ('BMP Suitability 01'!P12*'BMP Removal Rates'!P$42)/100, IF('(STEP 1) Baseline Conditions'!$B$6="Best",('BMP Suitability 01'!P12*'BMP Removal Rates'!P$38)/100)))</f>
        <v>0.83750000000000002</v>
      </c>
      <c r="Q12" s="110">
        <f>IF('(STEP 1) Baseline Conditions'!$B$6="Poor",('BMP Suitability 01'!Q12*'BMP Removal Rates'!Q$41)/100, IF('(STEP 1) Baseline Conditions'!$B$6="Average", ('BMP Suitability 01'!Q12*'BMP Removal Rates'!Q$42)/100, IF('(STEP 1) Baseline Conditions'!$B$6="Best",('BMP Suitability 01'!Q12*'BMP Removal Rates'!Q$38)/100)))</f>
        <v>0.73750000000000004</v>
      </c>
      <c r="R12" s="110">
        <f>IF('(STEP 1) Baseline Conditions'!$B$6="Poor",('BMP Suitability 01'!R12*'BMP Removal Rates'!R$41)/100, IF('(STEP 1) Baseline Conditions'!$B$6="Average", ('BMP Suitability 01'!R12*'BMP Removal Rates'!R$42)/100, IF('(STEP 1) Baseline Conditions'!$B$6="Best",('BMP Suitability 01'!R12*'BMP Removal Rates'!R$38)/100)))</f>
        <v>0</v>
      </c>
      <c r="S12" s="110">
        <f>IF('(STEP 1) Baseline Conditions'!$B$6="Poor",('BMP Suitability 01'!S12*'BMP Removal Rates'!S$41)/100, IF('(STEP 1) Baseline Conditions'!$B$6="Average", ('BMP Suitability 01'!S12*'BMP Removal Rates'!S$42)/100, IF('(STEP 1) Baseline Conditions'!$B$6="Best",('BMP Suitability 01'!S12*'BMP Removal Rates'!S$38)/100)))</f>
        <v>0</v>
      </c>
      <c r="T12" s="110">
        <f>IF('(STEP 1) Baseline Conditions'!$B$6="Poor",('BMP Suitability 01'!T12*'BMP Removal Rates'!T$41)/100, IF('(STEP 1) Baseline Conditions'!$B$6="Average", ('BMP Suitability 01'!T12*'BMP Removal Rates'!T$42)/100, IF('(STEP 1) Baseline Conditions'!$B$6="Best",('BMP Suitability 01'!T12*'BMP Removal Rates'!T$38)/100)))</f>
        <v>0.79749999999999999</v>
      </c>
      <c r="U12" s="110">
        <f>IF('(STEP 1) Baseline Conditions'!$B$6="Poor",('BMP Suitability 01'!U12*'BMP Removal Rates'!U$41)/100, IF('(STEP 1) Baseline Conditions'!$B$6="Average", ('BMP Suitability 01'!U12*'BMP Removal Rates'!U$42)/100, IF('(STEP 1) Baseline Conditions'!$B$6="Best",('BMP Suitability 01'!U12*'BMP Removal Rates'!U$38)/100)))</f>
        <v>0.52500000000000002</v>
      </c>
      <c r="V12" s="110">
        <f>IF('(STEP 1) Baseline Conditions'!$B$6="Poor",('BMP Suitability 01'!V12*'BMP Removal Rates'!V$41)/100, IF('(STEP 1) Baseline Conditions'!$B$6="Average", ('BMP Suitability 01'!V12*'BMP Removal Rates'!V$42)/100, IF('(STEP 1) Baseline Conditions'!$B$6="Best",('BMP Suitability 01'!V12*'BMP Removal Rates'!V$38)/100)))</f>
        <v>0.72750000000000004</v>
      </c>
      <c r="W12" s="110">
        <f>IF('(STEP 1) Baseline Conditions'!$B$6="Poor",('BMP Suitability 01'!W12*'BMP Removal Rates'!W$41)/100, IF('(STEP 1) Baseline Conditions'!$B$6="Average", ('BMP Suitability 01'!W12*'BMP Removal Rates'!W$42)/100, IF('(STEP 1) Baseline Conditions'!$B$6="Best",('BMP Suitability 01'!W12*'BMP Removal Rates'!W$38)/100)))</f>
        <v>0.755</v>
      </c>
      <c r="X12" s="110">
        <f>IF('(STEP 1) Baseline Conditions'!$B$6="Poor",('BMP Suitability 01'!X12*'BMP Removal Rates'!X$41)/100, IF('(STEP 1) Baseline Conditions'!$B$6="Average", ('BMP Suitability 01'!X12*'BMP Removal Rates'!X$42)/100, IF('(STEP 1) Baseline Conditions'!$B$6="Best",('BMP Suitability 01'!X12*'BMP Removal Rates'!X$38)/100)))</f>
        <v>0</v>
      </c>
      <c r="Y12" s="110">
        <f>IF('(STEP 1) Baseline Conditions'!$B$6="Poor",('BMP Suitability 01'!Y12*'BMP Removal Rates'!Y$41)/100, IF('(STEP 1) Baseline Conditions'!$B$6="Average", ('BMP Suitability 01'!Y12*'BMP Removal Rates'!Y$42)/100, IF('(STEP 1) Baseline Conditions'!$B$6="Best",('BMP Suitability 01'!Y12*'BMP Removal Rates'!Y$38)/100)))</f>
        <v>0</v>
      </c>
      <c r="Z12" s="110">
        <f>IF('(STEP 1) Baseline Conditions'!$B$6="Poor",('BMP Suitability 01'!Z12*'BMP Removal Rates'!Z$41)/100, IF('(STEP 1) Baseline Conditions'!$B$6="Average", ('BMP Suitability 01'!Z12*'BMP Removal Rates'!Z$42)/100, IF('(STEP 1) Baseline Conditions'!$B$6="Best",('BMP Suitability 01'!Z12*'BMP Removal Rates'!Z$38)/100)))</f>
        <v>0</v>
      </c>
      <c r="AA12" s="110">
        <f>IF('(STEP 1) Baseline Conditions'!$B$6="Poor",('BMP Suitability 01'!AA12*'BMP Removal Rates'!AA$41)/100, IF('(STEP 1) Baseline Conditions'!$B$6="Average", ('BMP Suitability 01'!AA12*'BMP Removal Rates'!AA$42)/100, IF('(STEP 1) Baseline Conditions'!$B$6="Best",('BMP Suitability 01'!AA12*'BMP Removal Rates'!AA$38)/100)))</f>
        <v>0</v>
      </c>
      <c r="AB12" s="110">
        <f>IF('(STEP 1) Baseline Conditions'!$B$6="Poor",('BMP Suitability 01'!AB12*'BMP Removal Rates'!AB$41)/100, IF('(STEP 1) Baseline Conditions'!$B$6="Average", ('BMP Suitability 01'!AB12*'BMP Removal Rates'!AB$42)/100, IF('(STEP 1) Baseline Conditions'!$B$6="Best",('BMP Suitability 01'!AB12*'BMP Removal Rates'!AB$38)/100)))</f>
        <v>0</v>
      </c>
      <c r="AC12" s="110">
        <f>IF('(STEP 1) Baseline Conditions'!$B$6="Poor",('BMP Suitability 01'!AC12*'BMP Removal Rates'!AC$41)/100, IF('(STEP 1) Baseline Conditions'!$B$6="Average", ('BMP Suitability 01'!AC12*'BMP Removal Rates'!AC$42)/100, IF('(STEP 1) Baseline Conditions'!$B$6="Best",('BMP Suitability 01'!AC12*'BMP Removal Rates'!AC$38)/100)))</f>
        <v>0</v>
      </c>
    </row>
    <row r="13" spans="1:29" x14ac:dyDescent="0.25">
      <c r="A13" s="3" t="s">
        <v>28</v>
      </c>
      <c r="B13" s="45">
        <f>IF(INDEX('Dosskey Coefficients'!$N$2:$N$20,MATCH('(STEP 1) Baseline Conditions'!$B$14,'Dosskey Coefficients'!$K$2:$K$20,0),0)&lt;0,('BMP Suitability 01'!B13*'BMP Removal Rates'!$B$38)/100, 'BMP Suitability 01'!B13*'BMP Removal Rates'!$B$39/100)</f>
        <v>0</v>
      </c>
      <c r="C13" s="45">
        <f>IF(INDEX('Dosskey Coefficients'!$N$2:$N$20,MATCH('(STEP 1) Baseline Conditions'!$B$14,'Dosskey Coefficients'!$K$2:$K$20,0),0)&lt;0,('BMP Suitability 01'!C13*$C$38)/100, 'BMP Suitability 01'!C13*$C$39/100)</f>
        <v>0</v>
      </c>
      <c r="D13" s="45">
        <f>('BMP Suitability 01'!D13*'BMP Removal Rates'!$D$38)/100</f>
        <v>0.62</v>
      </c>
      <c r="E13" s="45">
        <f>('BMP Suitability 01'!E13*'BMP Removal Rates'!$E$38)/100</f>
        <v>0.38500000000000001</v>
      </c>
      <c r="F13" s="45">
        <f>('BMP Suitability 01'!F13*'BMP Removal Rates'!$F$38)/100</f>
        <v>0.4</v>
      </c>
      <c r="G13" s="45">
        <f>('BMP Suitability 01'!G13*'BMP Removal Rates'!$G$38)/100</f>
        <v>0.75</v>
      </c>
      <c r="H13" s="45">
        <f>('BMP Suitability 01'!H13*'BMP Removal Rates'!$H$38)/100</f>
        <v>0.95</v>
      </c>
      <c r="I13" s="45">
        <f>('BMP Suitability 01'!I13*'BMP Removal Rates'!$I$38)/100</f>
        <v>0.85</v>
      </c>
      <c r="J13" s="45">
        <f>('BMP Suitability 01'!J13*'BMP Removal Rates'!$J$38)/100</f>
        <v>0.9</v>
      </c>
      <c r="K13" s="45">
        <f>('BMP Suitability 01'!K13*'BMP Removal Rates'!$K$38)/100</f>
        <v>0.75</v>
      </c>
      <c r="L13" s="45">
        <f>('BMP Suitability 01'!L13*'BMP Removal Rates'!$L$38)/100</f>
        <v>0</v>
      </c>
      <c r="M13" s="45">
        <f>('BMP Suitability 01'!M13*'BMP Removal Rates'!$M$38)/100</f>
        <v>0</v>
      </c>
      <c r="N13" s="110">
        <f>IF('(STEP 1) Baseline Conditions'!$B$6="Poor",('BMP Suitability 01'!N13*'BMP Removal Rates'!N$41)/100, IF('(STEP 1) Baseline Conditions'!$B$6="Average", ('BMP Suitability 01'!N13*'BMP Removal Rates'!N$42)/100, IF('(STEP 1) Baseline Conditions'!$B$6="Best",('BMP Suitability 01'!N13*'BMP Removal Rates'!N$38)/100)))</f>
        <v>0</v>
      </c>
      <c r="O13" s="110">
        <f>IF('(STEP 1) Baseline Conditions'!$B$6="Poor",('BMP Suitability 01'!O13*'BMP Removal Rates'!O$41)/100, IF('(STEP 1) Baseline Conditions'!$B$6="Average", ('BMP Suitability 01'!O13*'BMP Removal Rates'!O$42)/100, IF('(STEP 1) Baseline Conditions'!$B$6="Best",('BMP Suitability 01'!O13*'BMP Removal Rates'!O$38)/100)))</f>
        <v>0</v>
      </c>
      <c r="P13" s="110">
        <f>IF('(STEP 1) Baseline Conditions'!$B$6="Poor",('BMP Suitability 01'!P13*'BMP Removal Rates'!P$41)/100, IF('(STEP 1) Baseline Conditions'!$B$6="Average", ('BMP Suitability 01'!P13*'BMP Removal Rates'!P$42)/100, IF('(STEP 1) Baseline Conditions'!$B$6="Best",('BMP Suitability 01'!P13*'BMP Removal Rates'!P$38)/100)))</f>
        <v>0</v>
      </c>
      <c r="Q13" s="110">
        <f>IF('(STEP 1) Baseline Conditions'!$B$6="Poor",('BMP Suitability 01'!Q13*'BMP Removal Rates'!Q$41)/100, IF('(STEP 1) Baseline Conditions'!$B$6="Average", ('BMP Suitability 01'!Q13*'BMP Removal Rates'!Q$42)/100, IF('(STEP 1) Baseline Conditions'!$B$6="Best",('BMP Suitability 01'!Q13*'BMP Removal Rates'!Q$38)/100)))</f>
        <v>0</v>
      </c>
      <c r="R13" s="110">
        <f>IF('(STEP 1) Baseline Conditions'!$B$6="Poor",('BMP Suitability 01'!R13*'BMP Removal Rates'!R$41)/100, IF('(STEP 1) Baseline Conditions'!$B$6="Average", ('BMP Suitability 01'!R13*'BMP Removal Rates'!R$42)/100, IF('(STEP 1) Baseline Conditions'!$B$6="Best",('BMP Suitability 01'!R13*'BMP Removal Rates'!R$38)/100)))</f>
        <v>0</v>
      </c>
      <c r="S13" s="110">
        <f>IF('(STEP 1) Baseline Conditions'!$B$6="Poor",('BMP Suitability 01'!S13*'BMP Removal Rates'!S$41)/100, IF('(STEP 1) Baseline Conditions'!$B$6="Average", ('BMP Suitability 01'!S13*'BMP Removal Rates'!S$42)/100, IF('(STEP 1) Baseline Conditions'!$B$6="Best",('BMP Suitability 01'!S13*'BMP Removal Rates'!S$38)/100)))</f>
        <v>0</v>
      </c>
      <c r="T13" s="110">
        <f>IF('(STEP 1) Baseline Conditions'!$B$6="Poor",('BMP Suitability 01'!T13*'BMP Removal Rates'!T$41)/100, IF('(STEP 1) Baseline Conditions'!$B$6="Average", ('BMP Suitability 01'!T13*'BMP Removal Rates'!T$42)/100, IF('(STEP 1) Baseline Conditions'!$B$6="Best",('BMP Suitability 01'!T13*'BMP Removal Rates'!T$38)/100)))</f>
        <v>0.79749999999999999</v>
      </c>
      <c r="U13" s="110">
        <f>IF('(STEP 1) Baseline Conditions'!$B$6="Poor",('BMP Suitability 01'!U13*'BMP Removal Rates'!U$41)/100, IF('(STEP 1) Baseline Conditions'!$B$6="Average", ('BMP Suitability 01'!U13*'BMP Removal Rates'!U$42)/100, IF('(STEP 1) Baseline Conditions'!$B$6="Best",('BMP Suitability 01'!U13*'BMP Removal Rates'!U$38)/100)))</f>
        <v>0.52500000000000002</v>
      </c>
      <c r="V13" s="110">
        <f>IF('(STEP 1) Baseline Conditions'!$B$6="Poor",('BMP Suitability 01'!V13*'BMP Removal Rates'!V$41)/100, IF('(STEP 1) Baseline Conditions'!$B$6="Average", ('BMP Suitability 01'!V13*'BMP Removal Rates'!V$42)/100, IF('(STEP 1) Baseline Conditions'!$B$6="Best",('BMP Suitability 01'!V13*'BMP Removal Rates'!V$38)/100)))</f>
        <v>0.72750000000000004</v>
      </c>
      <c r="W13" s="110">
        <f>IF('(STEP 1) Baseline Conditions'!$B$6="Poor",('BMP Suitability 01'!W13*'BMP Removal Rates'!W$41)/100, IF('(STEP 1) Baseline Conditions'!$B$6="Average", ('BMP Suitability 01'!W13*'BMP Removal Rates'!W$42)/100, IF('(STEP 1) Baseline Conditions'!$B$6="Best",('BMP Suitability 01'!W13*'BMP Removal Rates'!W$38)/100)))</f>
        <v>0.755</v>
      </c>
      <c r="X13" s="110">
        <f>IF('(STEP 1) Baseline Conditions'!$B$6="Poor",('BMP Suitability 01'!X13*'BMP Removal Rates'!X$41)/100, IF('(STEP 1) Baseline Conditions'!$B$6="Average", ('BMP Suitability 01'!X13*'BMP Removal Rates'!X$42)/100, IF('(STEP 1) Baseline Conditions'!$B$6="Best",('BMP Suitability 01'!X13*'BMP Removal Rates'!X$38)/100)))</f>
        <v>0</v>
      </c>
      <c r="Y13" s="110">
        <f>IF('(STEP 1) Baseline Conditions'!$B$6="Poor",('BMP Suitability 01'!Y13*'BMP Removal Rates'!Y$41)/100, IF('(STEP 1) Baseline Conditions'!$B$6="Average", ('BMP Suitability 01'!Y13*'BMP Removal Rates'!Y$42)/100, IF('(STEP 1) Baseline Conditions'!$B$6="Best",('BMP Suitability 01'!Y13*'BMP Removal Rates'!Y$38)/100)))</f>
        <v>0</v>
      </c>
      <c r="Z13" s="110">
        <f>IF('(STEP 1) Baseline Conditions'!$B$6="Poor",('BMP Suitability 01'!Z13*'BMP Removal Rates'!Z$41)/100, IF('(STEP 1) Baseline Conditions'!$B$6="Average", ('BMP Suitability 01'!Z13*'BMP Removal Rates'!Z$42)/100, IF('(STEP 1) Baseline Conditions'!$B$6="Best",('BMP Suitability 01'!Z13*'BMP Removal Rates'!Z$38)/100)))</f>
        <v>0.75</v>
      </c>
      <c r="AA13" s="110">
        <f>IF('(STEP 1) Baseline Conditions'!$B$6="Poor",('BMP Suitability 01'!AA13*'BMP Removal Rates'!AA$41)/100, IF('(STEP 1) Baseline Conditions'!$B$6="Average", ('BMP Suitability 01'!AA13*'BMP Removal Rates'!AA$42)/100, IF('(STEP 1) Baseline Conditions'!$B$6="Best",('BMP Suitability 01'!AA13*'BMP Removal Rates'!AA$38)/100)))</f>
        <v>0.71750000000000003</v>
      </c>
      <c r="AB13" s="110">
        <f>IF('(STEP 1) Baseline Conditions'!$B$6="Poor",('BMP Suitability 01'!AB13*'BMP Removal Rates'!AB$41)/100, IF('(STEP 1) Baseline Conditions'!$B$6="Average", ('BMP Suitability 01'!AB13*'BMP Removal Rates'!AB$42)/100, IF('(STEP 1) Baseline Conditions'!$B$6="Best",('BMP Suitability 01'!AB13*'BMP Removal Rates'!AB$38)/100)))</f>
        <v>0</v>
      </c>
      <c r="AC13" s="110">
        <f>IF('(STEP 1) Baseline Conditions'!$B$6="Poor",('BMP Suitability 01'!AC13*'BMP Removal Rates'!AC$41)/100, IF('(STEP 1) Baseline Conditions'!$B$6="Average", ('BMP Suitability 01'!AC13*'BMP Removal Rates'!AC$42)/100, IF('(STEP 1) Baseline Conditions'!$B$6="Best",('BMP Suitability 01'!AC13*'BMP Removal Rates'!AC$38)/100)))</f>
        <v>0</v>
      </c>
    </row>
    <row r="14" spans="1:29" x14ac:dyDescent="0.25">
      <c r="A14" s="3" t="s">
        <v>29</v>
      </c>
      <c r="B14" s="45">
        <f>IF(INDEX('Dosskey Coefficients'!$N$2:$N$20,MATCH('(STEP 1) Baseline Conditions'!$B$14,'Dosskey Coefficients'!$K$2:$K$20,0),0)&lt;0,('BMP Suitability 01'!B14*'BMP Removal Rates'!$B$38)/100, 'BMP Suitability 01'!B14*'BMP Removal Rates'!$B$39/100)</f>
        <v>0.87</v>
      </c>
      <c r="C14" s="45">
        <f>IF(INDEX('Dosskey Coefficients'!$N$2:$N$20,MATCH('(STEP 1) Baseline Conditions'!$B$14,'Dosskey Coefficients'!$K$2:$K$20,0),0)&lt;0,('BMP Suitability 01'!C14*$C$38)/100, 'BMP Suitability 01'!C14*$C$39/100)</f>
        <v>0.64500000000000002</v>
      </c>
      <c r="D14" s="45">
        <f>('BMP Suitability 01'!D14*'BMP Removal Rates'!$D$38)/100</f>
        <v>0.62</v>
      </c>
      <c r="E14" s="45">
        <f>('BMP Suitability 01'!E14*'BMP Removal Rates'!$E$38)/100</f>
        <v>0.38500000000000001</v>
      </c>
      <c r="F14" s="45">
        <f>('BMP Suitability 01'!F14*'BMP Removal Rates'!$F$38)/100</f>
        <v>0.4</v>
      </c>
      <c r="G14" s="45">
        <f>('BMP Suitability 01'!G14*'BMP Removal Rates'!$G$38)/100</f>
        <v>0.75</v>
      </c>
      <c r="H14" s="45">
        <f>('BMP Suitability 01'!H14*'BMP Removal Rates'!$H$38)/100</f>
        <v>0</v>
      </c>
      <c r="I14" s="45">
        <f>('BMP Suitability 01'!I14*'BMP Removal Rates'!$I$38)/100</f>
        <v>0</v>
      </c>
      <c r="J14" s="45">
        <f>('BMP Suitability 01'!J14*'BMP Removal Rates'!$J$38)/100</f>
        <v>0.9</v>
      </c>
      <c r="K14" s="45">
        <f>('BMP Suitability 01'!K14*'BMP Removal Rates'!$K$38)/100</f>
        <v>0.75</v>
      </c>
      <c r="L14" s="45">
        <f>('BMP Suitability 01'!L14*'BMP Removal Rates'!$L$38)/100</f>
        <v>0.69</v>
      </c>
      <c r="M14" s="45">
        <f>('BMP Suitability 01'!M14*'BMP Removal Rates'!$M$38)/100</f>
        <v>0.77500000000000002</v>
      </c>
      <c r="N14" s="110">
        <f>IF('(STEP 1) Baseline Conditions'!$B$6="Poor",('BMP Suitability 01'!N14*'BMP Removal Rates'!N$41)/100, IF('(STEP 1) Baseline Conditions'!$B$6="Average", ('BMP Suitability 01'!N14*'BMP Removal Rates'!N$42)/100, IF('(STEP 1) Baseline Conditions'!$B$6="Best",('BMP Suitability 01'!N14*'BMP Removal Rates'!N$38)/100)))</f>
        <v>0</v>
      </c>
      <c r="O14" s="110">
        <f>IF('(STEP 1) Baseline Conditions'!$B$6="Poor",('BMP Suitability 01'!O14*'BMP Removal Rates'!O$41)/100, IF('(STEP 1) Baseline Conditions'!$B$6="Average", ('BMP Suitability 01'!O14*'BMP Removal Rates'!O$42)/100, IF('(STEP 1) Baseline Conditions'!$B$6="Best",('BMP Suitability 01'!O14*'BMP Removal Rates'!O$38)/100)))</f>
        <v>0</v>
      </c>
      <c r="P14" s="110">
        <f>IF('(STEP 1) Baseline Conditions'!$B$6="Poor",('BMP Suitability 01'!P14*'BMP Removal Rates'!P$41)/100, IF('(STEP 1) Baseline Conditions'!$B$6="Average", ('BMP Suitability 01'!P14*'BMP Removal Rates'!P$42)/100, IF('(STEP 1) Baseline Conditions'!$B$6="Best",('BMP Suitability 01'!P14*'BMP Removal Rates'!P$38)/100)))</f>
        <v>0</v>
      </c>
      <c r="Q14" s="110">
        <f>IF('(STEP 1) Baseline Conditions'!$B$6="Poor",('BMP Suitability 01'!Q14*'BMP Removal Rates'!Q$41)/100, IF('(STEP 1) Baseline Conditions'!$B$6="Average", ('BMP Suitability 01'!Q14*'BMP Removal Rates'!Q$42)/100, IF('(STEP 1) Baseline Conditions'!$B$6="Best",('BMP Suitability 01'!Q14*'BMP Removal Rates'!Q$38)/100)))</f>
        <v>0</v>
      </c>
      <c r="R14" s="110">
        <f>IF('(STEP 1) Baseline Conditions'!$B$6="Poor",('BMP Suitability 01'!R14*'BMP Removal Rates'!R$41)/100, IF('(STEP 1) Baseline Conditions'!$B$6="Average", ('BMP Suitability 01'!R14*'BMP Removal Rates'!R$42)/100, IF('(STEP 1) Baseline Conditions'!$B$6="Best",('BMP Suitability 01'!R14*'BMP Removal Rates'!R$38)/100)))</f>
        <v>0</v>
      </c>
      <c r="S14" s="110">
        <f>IF('(STEP 1) Baseline Conditions'!$B$6="Poor",('BMP Suitability 01'!S14*'BMP Removal Rates'!S$41)/100, IF('(STEP 1) Baseline Conditions'!$B$6="Average", ('BMP Suitability 01'!S14*'BMP Removal Rates'!S$42)/100, IF('(STEP 1) Baseline Conditions'!$B$6="Best",('BMP Suitability 01'!S14*'BMP Removal Rates'!S$38)/100)))</f>
        <v>0</v>
      </c>
      <c r="T14" s="110">
        <f>IF('(STEP 1) Baseline Conditions'!$B$6="Poor",('BMP Suitability 01'!T14*'BMP Removal Rates'!T$41)/100, IF('(STEP 1) Baseline Conditions'!$B$6="Average", ('BMP Suitability 01'!T14*'BMP Removal Rates'!T$42)/100, IF('(STEP 1) Baseline Conditions'!$B$6="Best",('BMP Suitability 01'!T14*'BMP Removal Rates'!T$38)/100)))</f>
        <v>0.79749999999999999</v>
      </c>
      <c r="U14" s="110">
        <f>IF('(STEP 1) Baseline Conditions'!$B$6="Poor",('BMP Suitability 01'!U14*'BMP Removal Rates'!U$41)/100, IF('(STEP 1) Baseline Conditions'!$B$6="Average", ('BMP Suitability 01'!U14*'BMP Removal Rates'!U$42)/100, IF('(STEP 1) Baseline Conditions'!$B$6="Best",('BMP Suitability 01'!U14*'BMP Removal Rates'!U$38)/100)))</f>
        <v>0.52500000000000002</v>
      </c>
      <c r="V14" s="110">
        <f>IF('(STEP 1) Baseline Conditions'!$B$6="Poor",('BMP Suitability 01'!V14*'BMP Removal Rates'!V$41)/100, IF('(STEP 1) Baseline Conditions'!$B$6="Average", ('BMP Suitability 01'!V14*'BMP Removal Rates'!V$42)/100, IF('(STEP 1) Baseline Conditions'!$B$6="Best",('BMP Suitability 01'!V14*'BMP Removal Rates'!V$38)/100)))</f>
        <v>0.72750000000000004</v>
      </c>
      <c r="W14" s="110">
        <f>IF('(STEP 1) Baseline Conditions'!$B$6="Poor",('BMP Suitability 01'!W14*'BMP Removal Rates'!W$41)/100, IF('(STEP 1) Baseline Conditions'!$B$6="Average", ('BMP Suitability 01'!W14*'BMP Removal Rates'!W$42)/100, IF('(STEP 1) Baseline Conditions'!$B$6="Best",('BMP Suitability 01'!W14*'BMP Removal Rates'!W$38)/100)))</f>
        <v>0.755</v>
      </c>
      <c r="X14" s="110">
        <f>IF('(STEP 1) Baseline Conditions'!$B$6="Poor",('BMP Suitability 01'!X14*'BMP Removal Rates'!X$41)/100, IF('(STEP 1) Baseline Conditions'!$B$6="Average", ('BMP Suitability 01'!X14*'BMP Removal Rates'!X$42)/100, IF('(STEP 1) Baseline Conditions'!$B$6="Best",('BMP Suitability 01'!X14*'BMP Removal Rates'!X$38)/100)))</f>
        <v>0.85</v>
      </c>
      <c r="Y14" s="110">
        <f>IF('(STEP 1) Baseline Conditions'!$B$6="Poor",('BMP Suitability 01'!Y14*'BMP Removal Rates'!Y$41)/100, IF('(STEP 1) Baseline Conditions'!$B$6="Average", ('BMP Suitability 01'!Y14*'BMP Removal Rates'!Y$42)/100, IF('(STEP 1) Baseline Conditions'!$B$6="Best",('BMP Suitability 01'!Y14*'BMP Removal Rates'!Y$38)/100)))</f>
        <v>0.22</v>
      </c>
      <c r="Z14" s="110">
        <f>IF('(STEP 1) Baseline Conditions'!$B$6="Poor",('BMP Suitability 01'!Z14*'BMP Removal Rates'!Z$41)/100, IF('(STEP 1) Baseline Conditions'!$B$6="Average", ('BMP Suitability 01'!Z14*'BMP Removal Rates'!Z$42)/100, IF('(STEP 1) Baseline Conditions'!$B$6="Best",('BMP Suitability 01'!Z14*'BMP Removal Rates'!Z$38)/100)))</f>
        <v>0.75</v>
      </c>
      <c r="AA14" s="110">
        <f>IF('(STEP 1) Baseline Conditions'!$B$6="Poor",('BMP Suitability 01'!AA14*'BMP Removal Rates'!AA$41)/100, IF('(STEP 1) Baseline Conditions'!$B$6="Average", ('BMP Suitability 01'!AA14*'BMP Removal Rates'!AA$42)/100, IF('(STEP 1) Baseline Conditions'!$B$6="Best",('BMP Suitability 01'!AA14*'BMP Removal Rates'!AA$38)/100)))</f>
        <v>0.71750000000000003</v>
      </c>
      <c r="AB14" s="110">
        <f>IF('(STEP 1) Baseline Conditions'!$B$6="Poor",('BMP Suitability 01'!AB14*'BMP Removal Rates'!AB$41)/100, IF('(STEP 1) Baseline Conditions'!$B$6="Average", ('BMP Suitability 01'!AB14*'BMP Removal Rates'!AB$42)/100, IF('(STEP 1) Baseline Conditions'!$B$6="Best",('BMP Suitability 01'!AB14*'BMP Removal Rates'!AB$38)/100)))</f>
        <v>0</v>
      </c>
      <c r="AC14" s="110">
        <f>IF('(STEP 1) Baseline Conditions'!$B$6="Poor",('BMP Suitability 01'!AC14*'BMP Removal Rates'!AC$41)/100, IF('(STEP 1) Baseline Conditions'!$B$6="Average", ('BMP Suitability 01'!AC14*'BMP Removal Rates'!AC$42)/100, IF('(STEP 1) Baseline Conditions'!$B$6="Best",('BMP Suitability 01'!AC14*'BMP Removal Rates'!AC$38)/100)))</f>
        <v>0</v>
      </c>
    </row>
    <row r="15" spans="1:29" x14ac:dyDescent="0.25">
      <c r="A15" s="3" t="s">
        <v>30</v>
      </c>
      <c r="B15" s="45">
        <f>IF(INDEX('Dosskey Coefficients'!$N$2:$N$20,MATCH('(STEP 1) Baseline Conditions'!$B$14,'Dosskey Coefficients'!$K$2:$K$20,0),0)&lt;0,('BMP Suitability 01'!B15*'BMP Removal Rates'!$B$38)/100, 'BMP Suitability 01'!B15*'BMP Removal Rates'!$B$39/100)</f>
        <v>0</v>
      </c>
      <c r="C15" s="45">
        <f>IF(INDEX('Dosskey Coefficients'!$N$2:$N$20,MATCH('(STEP 1) Baseline Conditions'!$B$14,'Dosskey Coefficients'!$K$2:$K$20,0),0)&lt;0,('BMP Suitability 01'!C15*$C$38)/100, 'BMP Suitability 01'!C15*$C$39/100)</f>
        <v>0</v>
      </c>
      <c r="D15" s="45">
        <f>('BMP Suitability 01'!D15*'BMP Removal Rates'!$D$38)/100</f>
        <v>0.62</v>
      </c>
      <c r="E15" s="45">
        <f>('BMP Suitability 01'!E15*'BMP Removal Rates'!$E$38)/100</f>
        <v>0.38500000000000001</v>
      </c>
      <c r="F15" s="45">
        <f>('BMP Suitability 01'!F15*'BMP Removal Rates'!$F$38)/100</f>
        <v>0.4</v>
      </c>
      <c r="G15" s="45">
        <f>('BMP Suitability 01'!G15*'BMP Removal Rates'!$G$38)/100</f>
        <v>0.75</v>
      </c>
      <c r="H15" s="45">
        <f>('BMP Suitability 01'!H15*'BMP Removal Rates'!$H$38)/100</f>
        <v>0.95</v>
      </c>
      <c r="I15" s="45">
        <f>('BMP Suitability 01'!I15*'BMP Removal Rates'!$I$38)/100</f>
        <v>0.85</v>
      </c>
      <c r="J15" s="45">
        <f>('BMP Suitability 01'!J15*'BMP Removal Rates'!$J$38)/100</f>
        <v>0.9</v>
      </c>
      <c r="K15" s="45">
        <f>('BMP Suitability 01'!K15*'BMP Removal Rates'!$K$38)/100</f>
        <v>0.75</v>
      </c>
      <c r="L15" s="45">
        <f>('BMP Suitability 01'!L15*'BMP Removal Rates'!$L$38)/100</f>
        <v>0</v>
      </c>
      <c r="M15" s="45">
        <f>('BMP Suitability 01'!M15*'BMP Removal Rates'!$M$38)/100</f>
        <v>0</v>
      </c>
      <c r="N15" s="110">
        <f>IF('(STEP 1) Baseline Conditions'!$B$6="Poor",('BMP Suitability 01'!N15*'BMP Removal Rates'!N$41)/100, IF('(STEP 1) Baseline Conditions'!$B$6="Average", ('BMP Suitability 01'!N15*'BMP Removal Rates'!N$42)/100, IF('(STEP 1) Baseline Conditions'!$B$6="Best",('BMP Suitability 01'!N15*'BMP Removal Rates'!N$38)/100)))</f>
        <v>0.82</v>
      </c>
      <c r="O15" s="110">
        <f>IF('(STEP 1) Baseline Conditions'!$B$6="Poor",('BMP Suitability 01'!O15*'BMP Removal Rates'!O$41)/100, IF('(STEP 1) Baseline Conditions'!$B$6="Average", ('BMP Suitability 01'!O15*'BMP Removal Rates'!O$42)/100, IF('(STEP 1) Baseline Conditions'!$B$6="Best",('BMP Suitability 01'!O15*'BMP Removal Rates'!O$38)/100)))</f>
        <v>0.21</v>
      </c>
      <c r="P15" s="110">
        <f>IF('(STEP 1) Baseline Conditions'!$B$6="Poor",('BMP Suitability 01'!P15*'BMP Removal Rates'!P$41)/100, IF('(STEP 1) Baseline Conditions'!$B$6="Average", ('BMP Suitability 01'!P15*'BMP Removal Rates'!P$42)/100, IF('(STEP 1) Baseline Conditions'!$B$6="Best",('BMP Suitability 01'!P15*'BMP Removal Rates'!P$38)/100)))</f>
        <v>0</v>
      </c>
      <c r="Q15" s="110">
        <f>IF('(STEP 1) Baseline Conditions'!$B$6="Poor",('BMP Suitability 01'!Q15*'BMP Removal Rates'!Q$41)/100, IF('(STEP 1) Baseline Conditions'!$B$6="Average", ('BMP Suitability 01'!Q15*'BMP Removal Rates'!Q$42)/100, IF('(STEP 1) Baseline Conditions'!$B$6="Best",('BMP Suitability 01'!Q15*'BMP Removal Rates'!Q$38)/100)))</f>
        <v>0</v>
      </c>
      <c r="R15" s="110">
        <f>IF('(STEP 1) Baseline Conditions'!$B$6="Poor",('BMP Suitability 01'!R15*'BMP Removal Rates'!R$41)/100, IF('(STEP 1) Baseline Conditions'!$B$6="Average", ('BMP Suitability 01'!R15*'BMP Removal Rates'!R$42)/100, IF('(STEP 1) Baseline Conditions'!$B$6="Best",('BMP Suitability 01'!R15*'BMP Removal Rates'!R$38)/100)))</f>
        <v>0</v>
      </c>
      <c r="S15" s="110">
        <f>IF('(STEP 1) Baseline Conditions'!$B$6="Poor",('BMP Suitability 01'!S15*'BMP Removal Rates'!S$41)/100, IF('(STEP 1) Baseline Conditions'!$B$6="Average", ('BMP Suitability 01'!S15*'BMP Removal Rates'!S$42)/100, IF('(STEP 1) Baseline Conditions'!$B$6="Best",('BMP Suitability 01'!S15*'BMP Removal Rates'!S$38)/100)))</f>
        <v>0</v>
      </c>
      <c r="T15" s="110">
        <f>IF('(STEP 1) Baseline Conditions'!$B$6="Poor",('BMP Suitability 01'!T15*'BMP Removal Rates'!T$41)/100, IF('(STEP 1) Baseline Conditions'!$B$6="Average", ('BMP Suitability 01'!T15*'BMP Removal Rates'!T$42)/100, IF('(STEP 1) Baseline Conditions'!$B$6="Best",('BMP Suitability 01'!T15*'BMP Removal Rates'!T$38)/100)))</f>
        <v>0.79749999999999999</v>
      </c>
      <c r="U15" s="110">
        <f>IF('(STEP 1) Baseline Conditions'!$B$6="Poor",('BMP Suitability 01'!U15*'BMP Removal Rates'!U$41)/100, IF('(STEP 1) Baseline Conditions'!$B$6="Average", ('BMP Suitability 01'!U15*'BMP Removal Rates'!U$42)/100, IF('(STEP 1) Baseline Conditions'!$B$6="Best",('BMP Suitability 01'!U15*'BMP Removal Rates'!U$38)/100)))</f>
        <v>0.52500000000000002</v>
      </c>
      <c r="V15" s="110">
        <f>IF('(STEP 1) Baseline Conditions'!$B$6="Poor",('BMP Suitability 01'!V15*'BMP Removal Rates'!V$41)/100, IF('(STEP 1) Baseline Conditions'!$B$6="Average", ('BMP Suitability 01'!V15*'BMP Removal Rates'!V$42)/100, IF('(STEP 1) Baseline Conditions'!$B$6="Best",('BMP Suitability 01'!V15*'BMP Removal Rates'!V$38)/100)))</f>
        <v>0.72750000000000004</v>
      </c>
      <c r="W15" s="110">
        <f>IF('(STEP 1) Baseline Conditions'!$B$6="Poor",('BMP Suitability 01'!W15*'BMP Removal Rates'!W$41)/100, IF('(STEP 1) Baseline Conditions'!$B$6="Average", ('BMP Suitability 01'!W15*'BMP Removal Rates'!W$42)/100, IF('(STEP 1) Baseline Conditions'!$B$6="Best",('BMP Suitability 01'!W15*'BMP Removal Rates'!W$38)/100)))</f>
        <v>0.755</v>
      </c>
      <c r="X15" s="110">
        <f>IF('(STEP 1) Baseline Conditions'!$B$6="Poor",('BMP Suitability 01'!X15*'BMP Removal Rates'!X$41)/100, IF('(STEP 1) Baseline Conditions'!$B$6="Average", ('BMP Suitability 01'!X15*'BMP Removal Rates'!X$42)/100, IF('(STEP 1) Baseline Conditions'!$B$6="Best",('BMP Suitability 01'!X15*'BMP Removal Rates'!X$38)/100)))</f>
        <v>0</v>
      </c>
      <c r="Y15" s="110">
        <f>IF('(STEP 1) Baseline Conditions'!$B$6="Poor",('BMP Suitability 01'!Y15*'BMP Removal Rates'!Y$41)/100, IF('(STEP 1) Baseline Conditions'!$B$6="Average", ('BMP Suitability 01'!Y15*'BMP Removal Rates'!Y$42)/100, IF('(STEP 1) Baseline Conditions'!$B$6="Best",('BMP Suitability 01'!Y15*'BMP Removal Rates'!Y$38)/100)))</f>
        <v>0</v>
      </c>
      <c r="Z15" s="110">
        <f>IF('(STEP 1) Baseline Conditions'!$B$6="Poor",('BMP Suitability 01'!Z15*'BMP Removal Rates'!Z$41)/100, IF('(STEP 1) Baseline Conditions'!$B$6="Average", ('BMP Suitability 01'!Z15*'BMP Removal Rates'!Z$42)/100, IF('(STEP 1) Baseline Conditions'!$B$6="Best",('BMP Suitability 01'!Z15*'BMP Removal Rates'!Z$38)/100)))</f>
        <v>0.75</v>
      </c>
      <c r="AA15" s="110">
        <f>IF('(STEP 1) Baseline Conditions'!$B$6="Poor",('BMP Suitability 01'!AA15*'BMP Removal Rates'!AA$41)/100, IF('(STEP 1) Baseline Conditions'!$B$6="Average", ('BMP Suitability 01'!AA15*'BMP Removal Rates'!AA$42)/100, IF('(STEP 1) Baseline Conditions'!$B$6="Best",('BMP Suitability 01'!AA15*'BMP Removal Rates'!AA$38)/100)))</f>
        <v>0.71750000000000003</v>
      </c>
      <c r="AB15" s="110">
        <f>IF('(STEP 1) Baseline Conditions'!$B$6="Poor",('BMP Suitability 01'!AB15*'BMP Removal Rates'!AB$41)/100, IF('(STEP 1) Baseline Conditions'!$B$6="Average", ('BMP Suitability 01'!AB15*'BMP Removal Rates'!AB$42)/100, IF('(STEP 1) Baseline Conditions'!$B$6="Best",('BMP Suitability 01'!AB15*'BMP Removal Rates'!AB$38)/100)))</f>
        <v>0</v>
      </c>
      <c r="AC15" s="110">
        <f>IF('(STEP 1) Baseline Conditions'!$B$6="Poor",('BMP Suitability 01'!AC15*'BMP Removal Rates'!AC$41)/100, IF('(STEP 1) Baseline Conditions'!$B$6="Average", ('BMP Suitability 01'!AC15*'BMP Removal Rates'!AC$42)/100, IF('(STEP 1) Baseline Conditions'!$B$6="Best",('BMP Suitability 01'!AC15*'BMP Removal Rates'!AC$38)/100)))</f>
        <v>0</v>
      </c>
    </row>
    <row r="16" spans="1:29" x14ac:dyDescent="0.25">
      <c r="A16" s="3" t="s">
        <v>90</v>
      </c>
      <c r="B16" s="45">
        <f>IF(INDEX('Dosskey Coefficients'!$N$2:$N$20,MATCH('(STEP 1) Baseline Conditions'!$B$14,'Dosskey Coefficients'!$K$2:$K$20,0),0)&lt;0,('BMP Suitability 01'!B16*'BMP Removal Rates'!$B$38)/100, 'BMP Suitability 01'!B16*'BMP Removal Rates'!$B$39/100)</f>
        <v>0</v>
      </c>
      <c r="C16" s="45">
        <f>IF(INDEX('Dosskey Coefficients'!$N$2:$N$20,MATCH('(STEP 1) Baseline Conditions'!$B$14,'Dosskey Coefficients'!$K$2:$K$20,0),0)&lt;0,('BMP Suitability 01'!C16*$C$38)/100, 'BMP Suitability 01'!C16*$C$39/100)</f>
        <v>0</v>
      </c>
      <c r="D16" s="45">
        <f>('BMP Suitability 01'!D16*'BMP Removal Rates'!$D$38)/100</f>
        <v>0.62</v>
      </c>
      <c r="E16" s="45">
        <f>('BMP Suitability 01'!E16*'BMP Removal Rates'!$E$38)/100</f>
        <v>0.38500000000000001</v>
      </c>
      <c r="F16" s="45">
        <f>('BMP Suitability 01'!F16*'BMP Removal Rates'!$F$38)/100</f>
        <v>0.4</v>
      </c>
      <c r="G16" s="45">
        <f>('BMP Suitability 01'!G16*'BMP Removal Rates'!$G$38)/100</f>
        <v>0.75</v>
      </c>
      <c r="H16" s="45">
        <f>('BMP Suitability 01'!H16*'BMP Removal Rates'!$H$38)/100</f>
        <v>0</v>
      </c>
      <c r="I16" s="45">
        <f>('BMP Suitability 01'!I16*'BMP Removal Rates'!$I$38)/100</f>
        <v>0</v>
      </c>
      <c r="J16" s="45">
        <f>('BMP Suitability 01'!J16*'BMP Removal Rates'!$J$38)/100</f>
        <v>0.9</v>
      </c>
      <c r="K16" s="45">
        <f>('BMP Suitability 01'!K16*'BMP Removal Rates'!$K$38)/100</f>
        <v>0.75</v>
      </c>
      <c r="L16" s="45">
        <f>('BMP Suitability 01'!L16*'BMP Removal Rates'!$L$38)/100</f>
        <v>0</v>
      </c>
      <c r="M16" s="45">
        <f>('BMP Suitability 01'!M16*'BMP Removal Rates'!$M$38)/100</f>
        <v>0</v>
      </c>
      <c r="N16" s="110">
        <f>IF('(STEP 1) Baseline Conditions'!$B$6="Poor",('BMP Suitability 01'!N16*'BMP Removal Rates'!N$41)/100, IF('(STEP 1) Baseline Conditions'!$B$6="Average", ('BMP Suitability 01'!N16*'BMP Removal Rates'!N$42)/100, IF('(STEP 1) Baseline Conditions'!$B$6="Best",('BMP Suitability 01'!N16*'BMP Removal Rates'!N$38)/100)))</f>
        <v>0</v>
      </c>
      <c r="O16" s="110">
        <f>IF('(STEP 1) Baseline Conditions'!$B$6="Poor",('BMP Suitability 01'!O16*'BMP Removal Rates'!O$41)/100, IF('(STEP 1) Baseline Conditions'!$B$6="Average", ('BMP Suitability 01'!O16*'BMP Removal Rates'!O$42)/100, IF('(STEP 1) Baseline Conditions'!$B$6="Best",('BMP Suitability 01'!O16*'BMP Removal Rates'!O$38)/100)))</f>
        <v>0</v>
      </c>
      <c r="P16" s="110">
        <f>IF('(STEP 1) Baseline Conditions'!$B$6="Poor",('BMP Suitability 01'!P16*'BMP Removal Rates'!P$41)/100, IF('(STEP 1) Baseline Conditions'!$B$6="Average", ('BMP Suitability 01'!P16*'BMP Removal Rates'!P$42)/100, IF('(STEP 1) Baseline Conditions'!$B$6="Best",('BMP Suitability 01'!P16*'BMP Removal Rates'!P$38)/100)))</f>
        <v>0</v>
      </c>
      <c r="Q16" s="110">
        <f>IF('(STEP 1) Baseline Conditions'!$B$6="Poor",('BMP Suitability 01'!Q16*'BMP Removal Rates'!Q$41)/100, IF('(STEP 1) Baseline Conditions'!$B$6="Average", ('BMP Suitability 01'!Q16*'BMP Removal Rates'!Q$42)/100, IF('(STEP 1) Baseline Conditions'!$B$6="Best",('BMP Suitability 01'!Q16*'BMP Removal Rates'!Q$38)/100)))</f>
        <v>0</v>
      </c>
      <c r="R16" s="110">
        <f>IF('(STEP 1) Baseline Conditions'!$B$6="Poor",('BMP Suitability 01'!R16*'BMP Removal Rates'!R$41)/100, IF('(STEP 1) Baseline Conditions'!$B$6="Average", ('BMP Suitability 01'!R16*'BMP Removal Rates'!R$42)/100, IF('(STEP 1) Baseline Conditions'!$B$6="Best",('BMP Suitability 01'!R16*'BMP Removal Rates'!R$38)/100)))</f>
        <v>0</v>
      </c>
      <c r="S16" s="110">
        <f>IF('(STEP 1) Baseline Conditions'!$B$6="Poor",('BMP Suitability 01'!S16*'BMP Removal Rates'!S$41)/100, IF('(STEP 1) Baseline Conditions'!$B$6="Average", ('BMP Suitability 01'!S16*'BMP Removal Rates'!S$42)/100, IF('(STEP 1) Baseline Conditions'!$B$6="Best",('BMP Suitability 01'!S16*'BMP Removal Rates'!S$38)/100)))</f>
        <v>0</v>
      </c>
      <c r="T16" s="110">
        <f>IF('(STEP 1) Baseline Conditions'!$B$6="Poor",('BMP Suitability 01'!T16*'BMP Removal Rates'!T$41)/100, IF('(STEP 1) Baseline Conditions'!$B$6="Average", ('BMP Suitability 01'!T16*'BMP Removal Rates'!T$42)/100, IF('(STEP 1) Baseline Conditions'!$B$6="Best",('BMP Suitability 01'!T16*'BMP Removal Rates'!T$38)/100)))</f>
        <v>0.79749999999999999</v>
      </c>
      <c r="U16" s="110">
        <f>IF('(STEP 1) Baseline Conditions'!$B$6="Poor",('BMP Suitability 01'!U16*'BMP Removal Rates'!U$41)/100, IF('(STEP 1) Baseline Conditions'!$B$6="Average", ('BMP Suitability 01'!U16*'BMP Removal Rates'!U$42)/100, IF('(STEP 1) Baseline Conditions'!$B$6="Best",('BMP Suitability 01'!U16*'BMP Removal Rates'!U$38)/100)))</f>
        <v>0.52500000000000002</v>
      </c>
      <c r="V16" s="110">
        <f>IF('(STEP 1) Baseline Conditions'!$B$6="Poor",('BMP Suitability 01'!V16*'BMP Removal Rates'!V$41)/100, IF('(STEP 1) Baseline Conditions'!$B$6="Average", ('BMP Suitability 01'!V16*'BMP Removal Rates'!V$42)/100, IF('(STEP 1) Baseline Conditions'!$B$6="Best",('BMP Suitability 01'!V16*'BMP Removal Rates'!V$38)/100)))</f>
        <v>0</v>
      </c>
      <c r="W16" s="110">
        <f>IF('(STEP 1) Baseline Conditions'!$B$6="Poor",('BMP Suitability 01'!W16*'BMP Removal Rates'!W$41)/100, IF('(STEP 1) Baseline Conditions'!$B$6="Average", ('BMP Suitability 01'!W16*'BMP Removal Rates'!W$42)/100, IF('(STEP 1) Baseline Conditions'!$B$6="Best",('BMP Suitability 01'!W16*'BMP Removal Rates'!W$38)/100)))</f>
        <v>0</v>
      </c>
      <c r="X16" s="110">
        <f>IF('(STEP 1) Baseline Conditions'!$B$6="Poor",('BMP Suitability 01'!X16*'BMP Removal Rates'!X$41)/100, IF('(STEP 1) Baseline Conditions'!$B$6="Average", ('BMP Suitability 01'!X16*'BMP Removal Rates'!X$42)/100, IF('(STEP 1) Baseline Conditions'!$B$6="Best",('BMP Suitability 01'!X16*'BMP Removal Rates'!X$38)/100)))</f>
        <v>0</v>
      </c>
      <c r="Y16" s="110">
        <f>IF('(STEP 1) Baseline Conditions'!$B$6="Poor",('BMP Suitability 01'!Y16*'BMP Removal Rates'!Y$41)/100, IF('(STEP 1) Baseline Conditions'!$B$6="Average", ('BMP Suitability 01'!Y16*'BMP Removal Rates'!Y$42)/100, IF('(STEP 1) Baseline Conditions'!$B$6="Best",('BMP Suitability 01'!Y16*'BMP Removal Rates'!Y$38)/100)))</f>
        <v>0</v>
      </c>
      <c r="Z16" s="110">
        <f>IF('(STEP 1) Baseline Conditions'!$B$6="Poor",('BMP Suitability 01'!Z16*'BMP Removal Rates'!Z$41)/100, IF('(STEP 1) Baseline Conditions'!$B$6="Average", ('BMP Suitability 01'!Z16*'BMP Removal Rates'!Z$42)/100, IF('(STEP 1) Baseline Conditions'!$B$6="Best",('BMP Suitability 01'!Z16*'BMP Removal Rates'!Z$38)/100)))</f>
        <v>0.75</v>
      </c>
      <c r="AA16" s="110">
        <f>IF('(STEP 1) Baseline Conditions'!$B$6="Poor",('BMP Suitability 01'!AA16*'BMP Removal Rates'!AA$41)/100, IF('(STEP 1) Baseline Conditions'!$B$6="Average", ('BMP Suitability 01'!AA16*'BMP Removal Rates'!AA$42)/100, IF('(STEP 1) Baseline Conditions'!$B$6="Best",('BMP Suitability 01'!AA16*'BMP Removal Rates'!AA$38)/100)))</f>
        <v>0.71750000000000003</v>
      </c>
      <c r="AB16" s="110">
        <f>IF('(STEP 1) Baseline Conditions'!$B$6="Poor",('BMP Suitability 01'!AB16*'BMP Removal Rates'!AB$41)/100, IF('(STEP 1) Baseline Conditions'!$B$6="Average", ('BMP Suitability 01'!AB16*'BMP Removal Rates'!AB$42)/100, IF('(STEP 1) Baseline Conditions'!$B$6="Best",('BMP Suitability 01'!AB16*'BMP Removal Rates'!AB$38)/100)))</f>
        <v>0</v>
      </c>
      <c r="AC16" s="110">
        <f>IF('(STEP 1) Baseline Conditions'!$B$6="Poor",('BMP Suitability 01'!AC16*'BMP Removal Rates'!AC$41)/100, IF('(STEP 1) Baseline Conditions'!$B$6="Average", ('BMP Suitability 01'!AC16*'BMP Removal Rates'!AC$42)/100, IF('(STEP 1) Baseline Conditions'!$B$6="Best",('BMP Suitability 01'!AC16*'BMP Removal Rates'!AC$38)/100)))</f>
        <v>0</v>
      </c>
    </row>
    <row r="17" spans="1:29" x14ac:dyDescent="0.25">
      <c r="A17" s="3" t="s">
        <v>91</v>
      </c>
      <c r="B17" s="45">
        <f>IF(INDEX('Dosskey Coefficients'!$N$2:$N$20,MATCH('(STEP 1) Baseline Conditions'!$B$14,'Dosskey Coefficients'!$K$2:$K$20,0),0)&lt;0,('BMP Suitability 01'!B17*'BMP Removal Rates'!$B$38)/100, 'BMP Suitability 01'!B17*'BMP Removal Rates'!$B$39/100)</f>
        <v>0</v>
      </c>
      <c r="C17" s="45">
        <f>IF(INDEX('Dosskey Coefficients'!$N$2:$N$20,MATCH('(STEP 1) Baseline Conditions'!$B$14,'Dosskey Coefficients'!$K$2:$K$20,0),0)&lt;0,('BMP Suitability 01'!C17*$C$38)/100, 'BMP Suitability 01'!C17*$C$39/100)</f>
        <v>0</v>
      </c>
      <c r="D17" s="45">
        <f>('BMP Suitability 01'!D17*'BMP Removal Rates'!$D$38)/100</f>
        <v>0.62</v>
      </c>
      <c r="E17" s="45">
        <f>('BMP Suitability 01'!E17*'BMP Removal Rates'!$E$38)/100</f>
        <v>0.38500000000000001</v>
      </c>
      <c r="F17" s="45">
        <f>('BMP Suitability 01'!F17*'BMP Removal Rates'!$F$38)/100</f>
        <v>0.4</v>
      </c>
      <c r="G17" s="45">
        <f>('BMP Suitability 01'!G17*'BMP Removal Rates'!$G$38)/100</f>
        <v>0.75</v>
      </c>
      <c r="H17" s="45">
        <f>('BMP Suitability 01'!H17*'BMP Removal Rates'!$H$38)/100</f>
        <v>0.95</v>
      </c>
      <c r="I17" s="45">
        <f>('BMP Suitability 01'!I17*'BMP Removal Rates'!$I$38)/100</f>
        <v>0.85</v>
      </c>
      <c r="J17" s="45">
        <f>('BMP Suitability 01'!J17*'BMP Removal Rates'!$J$38)/100</f>
        <v>0.9</v>
      </c>
      <c r="K17" s="45">
        <f>('BMP Suitability 01'!K17*'BMP Removal Rates'!$K$38)/100</f>
        <v>0.75</v>
      </c>
      <c r="L17" s="45">
        <f>('BMP Suitability 01'!L17*'BMP Removal Rates'!$L$38)/100</f>
        <v>0</v>
      </c>
      <c r="M17" s="45">
        <f>('BMP Suitability 01'!M17*'BMP Removal Rates'!$M$38)/100</f>
        <v>0</v>
      </c>
      <c r="N17" s="110">
        <f>IF('(STEP 1) Baseline Conditions'!$B$6="Poor",('BMP Suitability 01'!N17*'BMP Removal Rates'!N$41)/100, IF('(STEP 1) Baseline Conditions'!$B$6="Average", ('BMP Suitability 01'!N17*'BMP Removal Rates'!N$42)/100, IF('(STEP 1) Baseline Conditions'!$B$6="Best",('BMP Suitability 01'!N17*'BMP Removal Rates'!N$38)/100)))</f>
        <v>0</v>
      </c>
      <c r="O17" s="110">
        <f>IF('(STEP 1) Baseline Conditions'!$B$6="Poor",('BMP Suitability 01'!O17*'BMP Removal Rates'!O$41)/100, IF('(STEP 1) Baseline Conditions'!$B$6="Average", ('BMP Suitability 01'!O17*'BMP Removal Rates'!O$42)/100, IF('(STEP 1) Baseline Conditions'!$B$6="Best",('BMP Suitability 01'!O17*'BMP Removal Rates'!O$38)/100)))</f>
        <v>0</v>
      </c>
      <c r="P17" s="110">
        <f>IF('(STEP 1) Baseline Conditions'!$B$6="Poor",('BMP Suitability 01'!P17*'BMP Removal Rates'!P$41)/100, IF('(STEP 1) Baseline Conditions'!$B$6="Average", ('BMP Suitability 01'!P17*'BMP Removal Rates'!P$42)/100, IF('(STEP 1) Baseline Conditions'!$B$6="Best",('BMP Suitability 01'!P17*'BMP Removal Rates'!P$38)/100)))</f>
        <v>0</v>
      </c>
      <c r="Q17" s="110">
        <f>IF('(STEP 1) Baseline Conditions'!$B$6="Poor",('BMP Suitability 01'!Q17*'BMP Removal Rates'!Q$41)/100, IF('(STEP 1) Baseline Conditions'!$B$6="Average", ('BMP Suitability 01'!Q17*'BMP Removal Rates'!Q$42)/100, IF('(STEP 1) Baseline Conditions'!$B$6="Best",('BMP Suitability 01'!Q17*'BMP Removal Rates'!Q$38)/100)))</f>
        <v>0</v>
      </c>
      <c r="R17" s="110">
        <f>IF('(STEP 1) Baseline Conditions'!$B$6="Poor",('BMP Suitability 01'!R17*'BMP Removal Rates'!R$41)/100, IF('(STEP 1) Baseline Conditions'!$B$6="Average", ('BMP Suitability 01'!R17*'BMP Removal Rates'!R$42)/100, IF('(STEP 1) Baseline Conditions'!$B$6="Best",('BMP Suitability 01'!R17*'BMP Removal Rates'!R$38)/100)))</f>
        <v>0</v>
      </c>
      <c r="S17" s="110">
        <f>IF('(STEP 1) Baseline Conditions'!$B$6="Poor",('BMP Suitability 01'!S17*'BMP Removal Rates'!S$41)/100, IF('(STEP 1) Baseline Conditions'!$B$6="Average", ('BMP Suitability 01'!S17*'BMP Removal Rates'!S$42)/100, IF('(STEP 1) Baseline Conditions'!$B$6="Best",('BMP Suitability 01'!S17*'BMP Removal Rates'!S$38)/100)))</f>
        <v>0</v>
      </c>
      <c r="T17" s="110">
        <f>IF('(STEP 1) Baseline Conditions'!$B$6="Poor",('BMP Suitability 01'!T17*'BMP Removal Rates'!T$41)/100, IF('(STEP 1) Baseline Conditions'!$B$6="Average", ('BMP Suitability 01'!T17*'BMP Removal Rates'!T$42)/100, IF('(STEP 1) Baseline Conditions'!$B$6="Best",('BMP Suitability 01'!T17*'BMP Removal Rates'!T$38)/100)))</f>
        <v>0.79749999999999999</v>
      </c>
      <c r="U17" s="110">
        <f>IF('(STEP 1) Baseline Conditions'!$B$6="Poor",('BMP Suitability 01'!U17*'BMP Removal Rates'!U$41)/100, IF('(STEP 1) Baseline Conditions'!$B$6="Average", ('BMP Suitability 01'!U17*'BMP Removal Rates'!U$42)/100, IF('(STEP 1) Baseline Conditions'!$B$6="Best",('BMP Suitability 01'!U17*'BMP Removal Rates'!U$38)/100)))</f>
        <v>0.52500000000000002</v>
      </c>
      <c r="V17" s="110">
        <f>IF('(STEP 1) Baseline Conditions'!$B$6="Poor",('BMP Suitability 01'!V17*'BMP Removal Rates'!V$41)/100, IF('(STEP 1) Baseline Conditions'!$B$6="Average", ('BMP Suitability 01'!V17*'BMP Removal Rates'!V$42)/100, IF('(STEP 1) Baseline Conditions'!$B$6="Best",('BMP Suitability 01'!V17*'BMP Removal Rates'!V$38)/100)))</f>
        <v>0</v>
      </c>
      <c r="W17" s="110">
        <f>IF('(STEP 1) Baseline Conditions'!$B$6="Poor",('BMP Suitability 01'!W17*'BMP Removal Rates'!W$41)/100, IF('(STEP 1) Baseline Conditions'!$B$6="Average", ('BMP Suitability 01'!W17*'BMP Removal Rates'!W$42)/100, IF('(STEP 1) Baseline Conditions'!$B$6="Best",('BMP Suitability 01'!W17*'BMP Removal Rates'!W$38)/100)))</f>
        <v>0</v>
      </c>
      <c r="X17" s="110">
        <f>IF('(STEP 1) Baseline Conditions'!$B$6="Poor",('BMP Suitability 01'!X17*'BMP Removal Rates'!X$41)/100, IF('(STEP 1) Baseline Conditions'!$B$6="Average", ('BMP Suitability 01'!X17*'BMP Removal Rates'!X$42)/100, IF('(STEP 1) Baseline Conditions'!$B$6="Best",('BMP Suitability 01'!X17*'BMP Removal Rates'!X$38)/100)))</f>
        <v>0.85</v>
      </c>
      <c r="Y17" s="110">
        <f>IF('(STEP 1) Baseline Conditions'!$B$6="Poor",('BMP Suitability 01'!Y17*'BMP Removal Rates'!Y$41)/100, IF('(STEP 1) Baseline Conditions'!$B$6="Average", ('BMP Suitability 01'!Y17*'BMP Removal Rates'!Y$42)/100, IF('(STEP 1) Baseline Conditions'!$B$6="Best",('BMP Suitability 01'!Y17*'BMP Removal Rates'!Y$38)/100)))</f>
        <v>0.22</v>
      </c>
      <c r="Z17" s="110">
        <f>IF('(STEP 1) Baseline Conditions'!$B$6="Poor",('BMP Suitability 01'!Z17*'BMP Removal Rates'!Z$41)/100, IF('(STEP 1) Baseline Conditions'!$B$6="Average", ('BMP Suitability 01'!Z17*'BMP Removal Rates'!Z$42)/100, IF('(STEP 1) Baseline Conditions'!$B$6="Best",('BMP Suitability 01'!Z17*'BMP Removal Rates'!Z$38)/100)))</f>
        <v>0.75</v>
      </c>
      <c r="AA17" s="110">
        <f>IF('(STEP 1) Baseline Conditions'!$B$6="Poor",('BMP Suitability 01'!AA17*'BMP Removal Rates'!AA$41)/100, IF('(STEP 1) Baseline Conditions'!$B$6="Average", ('BMP Suitability 01'!AA17*'BMP Removal Rates'!AA$42)/100, IF('(STEP 1) Baseline Conditions'!$B$6="Best",('BMP Suitability 01'!AA17*'BMP Removal Rates'!AA$38)/100)))</f>
        <v>0.71750000000000003</v>
      </c>
      <c r="AB17" s="110">
        <f>IF('(STEP 1) Baseline Conditions'!$B$6="Poor",('BMP Suitability 01'!AB17*'BMP Removal Rates'!AB$41)/100, IF('(STEP 1) Baseline Conditions'!$B$6="Average", ('BMP Suitability 01'!AB17*'BMP Removal Rates'!AB$42)/100, IF('(STEP 1) Baseline Conditions'!$B$6="Best",('BMP Suitability 01'!AB17*'BMP Removal Rates'!AB$38)/100)))</f>
        <v>0.55437499999999995</v>
      </c>
      <c r="AC17" s="110">
        <f>IF('(STEP 1) Baseline Conditions'!$B$6="Poor",('BMP Suitability 01'!AC17*'BMP Removal Rates'!AC$41)/100, IF('(STEP 1) Baseline Conditions'!$B$6="Average", ('BMP Suitability 01'!AC17*'BMP Removal Rates'!AC$42)/100, IF('(STEP 1) Baseline Conditions'!$B$6="Best",('BMP Suitability 01'!AC17*'BMP Removal Rates'!AC$38)/100)))</f>
        <v>0.62</v>
      </c>
    </row>
    <row r="18" spans="1:29" x14ac:dyDescent="0.25">
      <c r="A18" s="3" t="s">
        <v>33</v>
      </c>
      <c r="B18" s="45">
        <f>IF(INDEX('Dosskey Coefficients'!$N$2:$N$20,MATCH('(STEP 1) Baseline Conditions'!$B$14,'Dosskey Coefficients'!$K$2:$K$20,0),0)&lt;0,('BMP Suitability 01'!B18*'BMP Removal Rates'!$B$38)/100, 'BMP Suitability 01'!B18*'BMP Removal Rates'!$B$39/100)</f>
        <v>0.87</v>
      </c>
      <c r="C18" s="45">
        <f>IF(INDEX('Dosskey Coefficients'!$N$2:$N$20,MATCH('(STEP 1) Baseline Conditions'!$B$14,'Dosskey Coefficients'!$K$2:$K$20,0),0)&lt;0,('BMP Suitability 01'!C18*$C$38)/100, 'BMP Suitability 01'!C18*$C$39/100)</f>
        <v>0.64500000000000002</v>
      </c>
      <c r="D18" s="45">
        <f>('BMP Suitability 01'!D18*'BMP Removal Rates'!$D$38)/100</f>
        <v>0.62</v>
      </c>
      <c r="E18" s="45">
        <f>('BMP Suitability 01'!E18*'BMP Removal Rates'!$E$38)/100</f>
        <v>0.38500000000000001</v>
      </c>
      <c r="F18" s="45">
        <f>('BMP Suitability 01'!F18*'BMP Removal Rates'!$F$38)/100</f>
        <v>0.4</v>
      </c>
      <c r="G18" s="45">
        <f>('BMP Suitability 01'!G18*'BMP Removal Rates'!$G$38)/100</f>
        <v>0.75</v>
      </c>
      <c r="H18" s="45">
        <f>('BMP Suitability 01'!H18*'BMP Removal Rates'!$H$38)/100</f>
        <v>0.95</v>
      </c>
      <c r="I18" s="45">
        <f>('BMP Suitability 01'!I18*'BMP Removal Rates'!$I$38)/100</f>
        <v>0.85</v>
      </c>
      <c r="J18" s="45">
        <f>('BMP Suitability 01'!J18*'BMP Removal Rates'!$J$38)/100</f>
        <v>0.9</v>
      </c>
      <c r="K18" s="45">
        <f>('BMP Suitability 01'!K18*'BMP Removal Rates'!$K$38)/100</f>
        <v>0.75</v>
      </c>
      <c r="L18" s="45">
        <f>('BMP Suitability 01'!L18*'BMP Removal Rates'!$L$38)/100</f>
        <v>0.69</v>
      </c>
      <c r="M18" s="45">
        <f>('BMP Suitability 01'!M18*'BMP Removal Rates'!$M$38)/100</f>
        <v>0.77500000000000002</v>
      </c>
      <c r="N18" s="110">
        <f>IF('(STEP 1) Baseline Conditions'!$B$6="Poor",('BMP Suitability 01'!N18*'BMP Removal Rates'!N$41)/100, IF('(STEP 1) Baseline Conditions'!$B$6="Average", ('BMP Suitability 01'!N18*'BMP Removal Rates'!N$42)/100, IF('(STEP 1) Baseline Conditions'!$B$6="Best",('BMP Suitability 01'!N18*'BMP Removal Rates'!N$38)/100)))</f>
        <v>0.82</v>
      </c>
      <c r="O18" s="110">
        <f>IF('(STEP 1) Baseline Conditions'!$B$6="Poor",('BMP Suitability 01'!O18*'BMP Removal Rates'!O$41)/100, IF('(STEP 1) Baseline Conditions'!$B$6="Average", ('BMP Suitability 01'!O18*'BMP Removal Rates'!O$42)/100, IF('(STEP 1) Baseline Conditions'!$B$6="Best",('BMP Suitability 01'!O18*'BMP Removal Rates'!O$38)/100)))</f>
        <v>0.21</v>
      </c>
      <c r="P18" s="110">
        <f>IF('(STEP 1) Baseline Conditions'!$B$6="Poor",('BMP Suitability 01'!P18*'BMP Removal Rates'!P$41)/100, IF('(STEP 1) Baseline Conditions'!$B$6="Average", ('BMP Suitability 01'!P18*'BMP Removal Rates'!P$42)/100, IF('(STEP 1) Baseline Conditions'!$B$6="Best",('BMP Suitability 01'!P18*'BMP Removal Rates'!P$38)/100)))</f>
        <v>0.83750000000000002</v>
      </c>
      <c r="Q18" s="110">
        <f>IF('(STEP 1) Baseline Conditions'!$B$6="Poor",('BMP Suitability 01'!Q18*'BMP Removal Rates'!Q$41)/100, IF('(STEP 1) Baseline Conditions'!$B$6="Average", ('BMP Suitability 01'!Q18*'BMP Removal Rates'!Q$42)/100, IF('(STEP 1) Baseline Conditions'!$B$6="Best",('BMP Suitability 01'!Q18*'BMP Removal Rates'!Q$38)/100)))</f>
        <v>0.73750000000000004</v>
      </c>
      <c r="R18" s="110">
        <f>IF('(STEP 1) Baseline Conditions'!$B$6="Poor",('BMP Suitability 01'!R18*'BMP Removal Rates'!R$41)/100, IF('(STEP 1) Baseline Conditions'!$B$6="Average", ('BMP Suitability 01'!R18*'BMP Removal Rates'!R$42)/100, IF('(STEP 1) Baseline Conditions'!$B$6="Best",('BMP Suitability 01'!R18*'BMP Removal Rates'!R$38)/100)))</f>
        <v>0</v>
      </c>
      <c r="S18" s="110">
        <f>IF('(STEP 1) Baseline Conditions'!$B$6="Poor",('BMP Suitability 01'!S18*'BMP Removal Rates'!S$41)/100, IF('(STEP 1) Baseline Conditions'!$B$6="Average", ('BMP Suitability 01'!S18*'BMP Removal Rates'!S$42)/100, IF('(STEP 1) Baseline Conditions'!$B$6="Best",('BMP Suitability 01'!S18*'BMP Removal Rates'!S$38)/100)))</f>
        <v>0</v>
      </c>
      <c r="T18" s="110">
        <f>IF('(STEP 1) Baseline Conditions'!$B$6="Poor",('BMP Suitability 01'!T18*'BMP Removal Rates'!T$41)/100, IF('(STEP 1) Baseline Conditions'!$B$6="Average", ('BMP Suitability 01'!T18*'BMP Removal Rates'!T$42)/100, IF('(STEP 1) Baseline Conditions'!$B$6="Best",('BMP Suitability 01'!T18*'BMP Removal Rates'!T$38)/100)))</f>
        <v>0.79749999999999999</v>
      </c>
      <c r="U18" s="110">
        <f>IF('(STEP 1) Baseline Conditions'!$B$6="Poor",('BMP Suitability 01'!U18*'BMP Removal Rates'!U$41)/100, IF('(STEP 1) Baseline Conditions'!$B$6="Average", ('BMP Suitability 01'!U18*'BMP Removal Rates'!U$42)/100, IF('(STEP 1) Baseline Conditions'!$B$6="Best",('BMP Suitability 01'!U18*'BMP Removal Rates'!U$38)/100)))</f>
        <v>0.52500000000000002</v>
      </c>
      <c r="V18" s="110">
        <f>IF('(STEP 1) Baseline Conditions'!$B$6="Poor",('BMP Suitability 01'!V18*'BMP Removal Rates'!V$41)/100, IF('(STEP 1) Baseline Conditions'!$B$6="Average", ('BMP Suitability 01'!V18*'BMP Removal Rates'!V$42)/100, IF('(STEP 1) Baseline Conditions'!$B$6="Best",('BMP Suitability 01'!V18*'BMP Removal Rates'!V$38)/100)))</f>
        <v>0.72750000000000004</v>
      </c>
      <c r="W18" s="110">
        <f>IF('(STEP 1) Baseline Conditions'!$B$6="Poor",('BMP Suitability 01'!W18*'BMP Removal Rates'!W$41)/100, IF('(STEP 1) Baseline Conditions'!$B$6="Average", ('BMP Suitability 01'!W18*'BMP Removal Rates'!W$42)/100, IF('(STEP 1) Baseline Conditions'!$B$6="Best",('BMP Suitability 01'!W18*'BMP Removal Rates'!W$38)/100)))</f>
        <v>0.755</v>
      </c>
      <c r="X18" s="110">
        <f>IF('(STEP 1) Baseline Conditions'!$B$6="Poor",('BMP Suitability 01'!X18*'BMP Removal Rates'!X$41)/100, IF('(STEP 1) Baseline Conditions'!$B$6="Average", ('BMP Suitability 01'!X18*'BMP Removal Rates'!X$42)/100, IF('(STEP 1) Baseline Conditions'!$B$6="Best",('BMP Suitability 01'!X18*'BMP Removal Rates'!X$38)/100)))</f>
        <v>0</v>
      </c>
      <c r="Y18" s="110">
        <f>IF('(STEP 1) Baseline Conditions'!$B$6="Poor",('BMP Suitability 01'!Y18*'BMP Removal Rates'!Y$41)/100, IF('(STEP 1) Baseline Conditions'!$B$6="Average", ('BMP Suitability 01'!Y18*'BMP Removal Rates'!Y$42)/100, IF('(STEP 1) Baseline Conditions'!$B$6="Best",('BMP Suitability 01'!Y18*'BMP Removal Rates'!Y$38)/100)))</f>
        <v>0</v>
      </c>
      <c r="Z18" s="110">
        <f>IF('(STEP 1) Baseline Conditions'!$B$6="Poor",('BMP Suitability 01'!Z18*'BMP Removal Rates'!Z$41)/100, IF('(STEP 1) Baseline Conditions'!$B$6="Average", ('BMP Suitability 01'!Z18*'BMP Removal Rates'!Z$42)/100, IF('(STEP 1) Baseline Conditions'!$B$6="Best",('BMP Suitability 01'!Z18*'BMP Removal Rates'!Z$38)/100)))</f>
        <v>0</v>
      </c>
      <c r="AA18" s="110">
        <f>IF('(STEP 1) Baseline Conditions'!$B$6="Poor",('BMP Suitability 01'!AA18*'BMP Removal Rates'!AA$41)/100, IF('(STEP 1) Baseline Conditions'!$B$6="Average", ('BMP Suitability 01'!AA18*'BMP Removal Rates'!AA$42)/100, IF('(STEP 1) Baseline Conditions'!$B$6="Best",('BMP Suitability 01'!AA18*'BMP Removal Rates'!AA$38)/100)))</f>
        <v>0</v>
      </c>
      <c r="AB18" s="110">
        <f>IF('(STEP 1) Baseline Conditions'!$B$6="Poor",('BMP Suitability 01'!AB18*'BMP Removal Rates'!AB$41)/100, IF('(STEP 1) Baseline Conditions'!$B$6="Average", ('BMP Suitability 01'!AB18*'BMP Removal Rates'!AB$42)/100, IF('(STEP 1) Baseline Conditions'!$B$6="Best",('BMP Suitability 01'!AB18*'BMP Removal Rates'!AB$38)/100)))</f>
        <v>0</v>
      </c>
      <c r="AC18" s="110">
        <f>IF('(STEP 1) Baseline Conditions'!$B$6="Poor",('BMP Suitability 01'!AC18*'BMP Removal Rates'!AC$41)/100, IF('(STEP 1) Baseline Conditions'!$B$6="Average", ('BMP Suitability 01'!AC18*'BMP Removal Rates'!AC$42)/100, IF('(STEP 1) Baseline Conditions'!$B$6="Best",('BMP Suitability 01'!AC18*'BMP Removal Rates'!AC$38)/100)))</f>
        <v>0</v>
      </c>
    </row>
    <row r="19" spans="1:29" x14ac:dyDescent="0.25">
      <c r="A19" s="3" t="s">
        <v>34</v>
      </c>
      <c r="B19" s="45">
        <f>IF(INDEX('Dosskey Coefficients'!$N$2:$N$20,MATCH('(STEP 1) Baseline Conditions'!$B$14,'Dosskey Coefficients'!$K$2:$K$20,0),0)&lt;0,('BMP Suitability 01'!B19*'BMP Removal Rates'!$B$38)/100, 'BMP Suitability 01'!B19*'BMP Removal Rates'!$B$39/100)</f>
        <v>0.87</v>
      </c>
      <c r="C19" s="45">
        <f>IF(INDEX('Dosskey Coefficients'!$N$2:$N$20,MATCH('(STEP 1) Baseline Conditions'!$B$14,'Dosskey Coefficients'!$K$2:$K$20,0),0)&lt;0,('BMP Suitability 01'!C19*$C$38)/100, 'BMP Suitability 01'!C19*$C$39/100)</f>
        <v>0.64500000000000002</v>
      </c>
      <c r="D19" s="45">
        <f>('BMP Suitability 01'!D19*'BMP Removal Rates'!$D$38)/100</f>
        <v>0.62</v>
      </c>
      <c r="E19" s="45">
        <f>('BMP Suitability 01'!E19*'BMP Removal Rates'!$E$38)/100</f>
        <v>0.38500000000000001</v>
      </c>
      <c r="F19" s="45">
        <f>('BMP Suitability 01'!F19*'BMP Removal Rates'!$F$38)/100</f>
        <v>0.4</v>
      </c>
      <c r="G19" s="45">
        <f>('BMP Suitability 01'!G19*'BMP Removal Rates'!$G$38)/100</f>
        <v>0.75</v>
      </c>
      <c r="H19" s="45">
        <f>('BMP Suitability 01'!H19*'BMP Removal Rates'!$H$38)/100</f>
        <v>0.95</v>
      </c>
      <c r="I19" s="45">
        <f>('BMP Suitability 01'!I19*'BMP Removal Rates'!$I$38)/100</f>
        <v>0.85</v>
      </c>
      <c r="J19" s="45">
        <f>('BMP Suitability 01'!J19*'BMP Removal Rates'!$J$38)/100</f>
        <v>0.9</v>
      </c>
      <c r="K19" s="45">
        <f>('BMP Suitability 01'!K19*'BMP Removal Rates'!$K$38)/100</f>
        <v>0.75</v>
      </c>
      <c r="L19" s="45">
        <f>('BMP Suitability 01'!L19*'BMP Removal Rates'!$L$38)/100</f>
        <v>0</v>
      </c>
      <c r="M19" s="45">
        <f>('BMP Suitability 01'!M19*'BMP Removal Rates'!$M$38)/100</f>
        <v>0</v>
      </c>
      <c r="N19" s="110">
        <f>IF('(STEP 1) Baseline Conditions'!$B$6="Poor",('BMP Suitability 01'!N19*'BMP Removal Rates'!N$41)/100, IF('(STEP 1) Baseline Conditions'!$B$6="Average", ('BMP Suitability 01'!N19*'BMP Removal Rates'!N$42)/100, IF('(STEP 1) Baseline Conditions'!$B$6="Best",('BMP Suitability 01'!N19*'BMP Removal Rates'!N$38)/100)))</f>
        <v>0.82</v>
      </c>
      <c r="O19" s="110">
        <f>IF('(STEP 1) Baseline Conditions'!$B$6="Poor",('BMP Suitability 01'!O19*'BMP Removal Rates'!O$41)/100, IF('(STEP 1) Baseline Conditions'!$B$6="Average", ('BMP Suitability 01'!O19*'BMP Removal Rates'!O$42)/100, IF('(STEP 1) Baseline Conditions'!$B$6="Best",('BMP Suitability 01'!O19*'BMP Removal Rates'!O$38)/100)))</f>
        <v>0.21</v>
      </c>
      <c r="P19" s="110">
        <f>IF('(STEP 1) Baseline Conditions'!$B$6="Poor",('BMP Suitability 01'!P19*'BMP Removal Rates'!P$41)/100, IF('(STEP 1) Baseline Conditions'!$B$6="Average", ('BMP Suitability 01'!P19*'BMP Removal Rates'!P$42)/100, IF('(STEP 1) Baseline Conditions'!$B$6="Best",('BMP Suitability 01'!P19*'BMP Removal Rates'!P$38)/100)))</f>
        <v>0.83750000000000002</v>
      </c>
      <c r="Q19" s="110">
        <f>IF('(STEP 1) Baseline Conditions'!$B$6="Poor",('BMP Suitability 01'!Q19*'BMP Removal Rates'!Q$41)/100, IF('(STEP 1) Baseline Conditions'!$B$6="Average", ('BMP Suitability 01'!Q19*'BMP Removal Rates'!Q$42)/100, IF('(STEP 1) Baseline Conditions'!$B$6="Best",('BMP Suitability 01'!Q19*'BMP Removal Rates'!Q$38)/100)))</f>
        <v>0.73750000000000004</v>
      </c>
      <c r="R19" s="110">
        <f>IF('(STEP 1) Baseline Conditions'!$B$6="Poor",('BMP Suitability 01'!R19*'BMP Removal Rates'!R$41)/100, IF('(STEP 1) Baseline Conditions'!$B$6="Average", ('BMP Suitability 01'!R19*'BMP Removal Rates'!R$42)/100, IF('(STEP 1) Baseline Conditions'!$B$6="Best",('BMP Suitability 01'!R19*'BMP Removal Rates'!R$38)/100)))</f>
        <v>0</v>
      </c>
      <c r="S19" s="110">
        <f>IF('(STEP 1) Baseline Conditions'!$B$6="Poor",('BMP Suitability 01'!S19*'BMP Removal Rates'!S$41)/100, IF('(STEP 1) Baseline Conditions'!$B$6="Average", ('BMP Suitability 01'!S19*'BMP Removal Rates'!S$42)/100, IF('(STEP 1) Baseline Conditions'!$B$6="Best",('BMP Suitability 01'!S19*'BMP Removal Rates'!S$38)/100)))</f>
        <v>0</v>
      </c>
      <c r="T19" s="110">
        <f>IF('(STEP 1) Baseline Conditions'!$B$6="Poor",('BMP Suitability 01'!T19*'BMP Removal Rates'!T$41)/100, IF('(STEP 1) Baseline Conditions'!$B$6="Average", ('BMP Suitability 01'!T19*'BMP Removal Rates'!T$42)/100, IF('(STEP 1) Baseline Conditions'!$B$6="Best",('BMP Suitability 01'!T19*'BMP Removal Rates'!T$38)/100)))</f>
        <v>0.79749999999999999</v>
      </c>
      <c r="U19" s="110">
        <f>IF('(STEP 1) Baseline Conditions'!$B$6="Poor",('BMP Suitability 01'!U19*'BMP Removal Rates'!U$41)/100, IF('(STEP 1) Baseline Conditions'!$B$6="Average", ('BMP Suitability 01'!U19*'BMP Removal Rates'!U$42)/100, IF('(STEP 1) Baseline Conditions'!$B$6="Best",('BMP Suitability 01'!U19*'BMP Removal Rates'!U$38)/100)))</f>
        <v>0.52500000000000002</v>
      </c>
      <c r="V19" s="110">
        <f>IF('(STEP 1) Baseline Conditions'!$B$6="Poor",('BMP Suitability 01'!V19*'BMP Removal Rates'!V$41)/100, IF('(STEP 1) Baseline Conditions'!$B$6="Average", ('BMP Suitability 01'!V19*'BMP Removal Rates'!V$42)/100, IF('(STEP 1) Baseline Conditions'!$B$6="Best",('BMP Suitability 01'!V19*'BMP Removal Rates'!V$38)/100)))</f>
        <v>0.72750000000000004</v>
      </c>
      <c r="W19" s="110">
        <f>IF('(STEP 1) Baseline Conditions'!$B$6="Poor",('BMP Suitability 01'!W19*'BMP Removal Rates'!W$41)/100, IF('(STEP 1) Baseline Conditions'!$B$6="Average", ('BMP Suitability 01'!W19*'BMP Removal Rates'!W$42)/100, IF('(STEP 1) Baseline Conditions'!$B$6="Best",('BMP Suitability 01'!W19*'BMP Removal Rates'!W$38)/100)))</f>
        <v>0.755</v>
      </c>
      <c r="X19" s="110">
        <f>IF('(STEP 1) Baseline Conditions'!$B$6="Poor",('BMP Suitability 01'!X19*'BMP Removal Rates'!X$41)/100, IF('(STEP 1) Baseline Conditions'!$B$6="Average", ('BMP Suitability 01'!X19*'BMP Removal Rates'!X$42)/100, IF('(STEP 1) Baseline Conditions'!$B$6="Best",('BMP Suitability 01'!X19*'BMP Removal Rates'!X$38)/100)))</f>
        <v>0</v>
      </c>
      <c r="Y19" s="110">
        <f>IF('(STEP 1) Baseline Conditions'!$B$6="Poor",('BMP Suitability 01'!Y19*'BMP Removal Rates'!Y$41)/100, IF('(STEP 1) Baseline Conditions'!$B$6="Average", ('BMP Suitability 01'!Y19*'BMP Removal Rates'!Y$42)/100, IF('(STEP 1) Baseline Conditions'!$B$6="Best",('BMP Suitability 01'!Y19*'BMP Removal Rates'!Y$38)/100)))</f>
        <v>0</v>
      </c>
      <c r="Z19" s="110">
        <f>IF('(STEP 1) Baseline Conditions'!$B$6="Poor",('BMP Suitability 01'!Z19*'BMP Removal Rates'!Z$41)/100, IF('(STEP 1) Baseline Conditions'!$B$6="Average", ('BMP Suitability 01'!Z19*'BMP Removal Rates'!Z$42)/100, IF('(STEP 1) Baseline Conditions'!$B$6="Best",('BMP Suitability 01'!Z19*'BMP Removal Rates'!Z$38)/100)))</f>
        <v>0.75</v>
      </c>
      <c r="AA19" s="110">
        <f>IF('(STEP 1) Baseline Conditions'!$B$6="Poor",('BMP Suitability 01'!AA19*'BMP Removal Rates'!AA$41)/100, IF('(STEP 1) Baseline Conditions'!$B$6="Average", ('BMP Suitability 01'!AA19*'BMP Removal Rates'!AA$42)/100, IF('(STEP 1) Baseline Conditions'!$B$6="Best",('BMP Suitability 01'!AA19*'BMP Removal Rates'!AA$38)/100)))</f>
        <v>0.71750000000000003</v>
      </c>
      <c r="AB19" s="110">
        <f>IF('(STEP 1) Baseline Conditions'!$B$6="Poor",('BMP Suitability 01'!AB19*'BMP Removal Rates'!AB$41)/100, IF('(STEP 1) Baseline Conditions'!$B$6="Average", ('BMP Suitability 01'!AB19*'BMP Removal Rates'!AB$42)/100, IF('(STEP 1) Baseline Conditions'!$B$6="Best",('BMP Suitability 01'!AB19*'BMP Removal Rates'!AB$38)/100)))</f>
        <v>0</v>
      </c>
      <c r="AC19" s="110">
        <f>IF('(STEP 1) Baseline Conditions'!$B$6="Poor",('BMP Suitability 01'!AC19*'BMP Removal Rates'!AC$41)/100, IF('(STEP 1) Baseline Conditions'!$B$6="Average", ('BMP Suitability 01'!AC19*'BMP Removal Rates'!AC$42)/100, IF('(STEP 1) Baseline Conditions'!$B$6="Best",('BMP Suitability 01'!AC19*'BMP Removal Rates'!AC$38)/100)))</f>
        <v>0</v>
      </c>
    </row>
    <row r="20" spans="1:29" x14ac:dyDescent="0.25">
      <c r="A20" s="3" t="s">
        <v>92</v>
      </c>
      <c r="B20" s="45">
        <f>IF(INDEX('Dosskey Coefficients'!$N$2:$N$20,MATCH('(STEP 1) Baseline Conditions'!$B$14,'Dosskey Coefficients'!$K$2:$K$20,0),0)&lt;0,('BMP Suitability 01'!B20*'BMP Removal Rates'!$B$38)/100, 'BMP Suitability 01'!B20*'BMP Removal Rates'!$B$39/100)</f>
        <v>0</v>
      </c>
      <c r="C20" s="45">
        <f>IF(INDEX('Dosskey Coefficients'!$N$2:$N$20,MATCH('(STEP 1) Baseline Conditions'!$B$14,'Dosskey Coefficients'!$K$2:$K$20,0),0)&lt;0,('BMP Suitability 01'!C20*$C$38)/100, 'BMP Suitability 01'!C20*$C$39/100)</f>
        <v>0</v>
      </c>
      <c r="D20" s="45">
        <f>('BMP Suitability 01'!D20*'BMP Removal Rates'!$D$38)/100</f>
        <v>0.62</v>
      </c>
      <c r="E20" s="45">
        <f>('BMP Suitability 01'!E20*'BMP Removal Rates'!$E$38)/100</f>
        <v>0.38500000000000001</v>
      </c>
      <c r="F20" s="45">
        <f>('BMP Suitability 01'!F20*'BMP Removal Rates'!$F$38)/100</f>
        <v>0.4</v>
      </c>
      <c r="G20" s="45">
        <f>('BMP Suitability 01'!G20*'BMP Removal Rates'!$G$38)/100</f>
        <v>0.75</v>
      </c>
      <c r="H20" s="45">
        <f>('BMP Suitability 01'!H20*'BMP Removal Rates'!$H$38)/100</f>
        <v>0.95</v>
      </c>
      <c r="I20" s="45">
        <f>('BMP Suitability 01'!I20*'BMP Removal Rates'!$I$38)/100</f>
        <v>0.85</v>
      </c>
      <c r="J20" s="45">
        <f>('BMP Suitability 01'!J20*'BMP Removal Rates'!$J$38)/100</f>
        <v>0.9</v>
      </c>
      <c r="K20" s="45">
        <f>('BMP Suitability 01'!K20*'BMP Removal Rates'!$K$38)/100</f>
        <v>0.75</v>
      </c>
      <c r="L20" s="45">
        <f>('BMP Suitability 01'!L20*'BMP Removal Rates'!$L$38)/100</f>
        <v>0</v>
      </c>
      <c r="M20" s="45">
        <f>('BMP Suitability 01'!M20*'BMP Removal Rates'!$M$38)/100</f>
        <v>0</v>
      </c>
      <c r="N20" s="110">
        <f>IF('(STEP 1) Baseline Conditions'!$B$6="Poor",('BMP Suitability 01'!N20*'BMP Removal Rates'!N$41)/100, IF('(STEP 1) Baseline Conditions'!$B$6="Average", ('BMP Suitability 01'!N20*'BMP Removal Rates'!N$42)/100, IF('(STEP 1) Baseline Conditions'!$B$6="Best",('BMP Suitability 01'!N20*'BMP Removal Rates'!N$38)/100)))</f>
        <v>0</v>
      </c>
      <c r="O20" s="110">
        <f>IF('(STEP 1) Baseline Conditions'!$B$6="Poor",('BMP Suitability 01'!O20*'BMP Removal Rates'!O$41)/100, IF('(STEP 1) Baseline Conditions'!$B$6="Average", ('BMP Suitability 01'!O20*'BMP Removal Rates'!O$42)/100, IF('(STEP 1) Baseline Conditions'!$B$6="Best",('BMP Suitability 01'!O20*'BMP Removal Rates'!O$38)/100)))</f>
        <v>0</v>
      </c>
      <c r="P20" s="110">
        <f>IF('(STEP 1) Baseline Conditions'!$B$6="Poor",('BMP Suitability 01'!P20*'BMP Removal Rates'!P$41)/100, IF('(STEP 1) Baseline Conditions'!$B$6="Average", ('BMP Suitability 01'!P20*'BMP Removal Rates'!P$42)/100, IF('(STEP 1) Baseline Conditions'!$B$6="Best",('BMP Suitability 01'!P20*'BMP Removal Rates'!P$38)/100)))</f>
        <v>0</v>
      </c>
      <c r="Q20" s="110">
        <f>IF('(STEP 1) Baseline Conditions'!$B$6="Poor",('BMP Suitability 01'!Q20*'BMP Removal Rates'!Q$41)/100, IF('(STEP 1) Baseline Conditions'!$B$6="Average", ('BMP Suitability 01'!Q20*'BMP Removal Rates'!Q$42)/100, IF('(STEP 1) Baseline Conditions'!$B$6="Best",('BMP Suitability 01'!Q20*'BMP Removal Rates'!Q$38)/100)))</f>
        <v>0</v>
      </c>
      <c r="R20" s="110">
        <f>IF('(STEP 1) Baseline Conditions'!$B$6="Poor",('BMP Suitability 01'!R20*'BMP Removal Rates'!R$41)/100, IF('(STEP 1) Baseline Conditions'!$B$6="Average", ('BMP Suitability 01'!R20*'BMP Removal Rates'!R$42)/100, IF('(STEP 1) Baseline Conditions'!$B$6="Best",('BMP Suitability 01'!R20*'BMP Removal Rates'!R$38)/100)))</f>
        <v>0</v>
      </c>
      <c r="S20" s="110">
        <f>IF('(STEP 1) Baseline Conditions'!$B$6="Poor",('BMP Suitability 01'!S20*'BMP Removal Rates'!S$41)/100, IF('(STEP 1) Baseline Conditions'!$B$6="Average", ('BMP Suitability 01'!S20*'BMP Removal Rates'!S$42)/100, IF('(STEP 1) Baseline Conditions'!$B$6="Best",('BMP Suitability 01'!S20*'BMP Removal Rates'!S$38)/100)))</f>
        <v>0</v>
      </c>
      <c r="T20" s="110">
        <f>IF('(STEP 1) Baseline Conditions'!$B$6="Poor",('BMP Suitability 01'!T20*'BMP Removal Rates'!T$41)/100, IF('(STEP 1) Baseline Conditions'!$B$6="Average", ('BMP Suitability 01'!T20*'BMP Removal Rates'!T$42)/100, IF('(STEP 1) Baseline Conditions'!$B$6="Best",('BMP Suitability 01'!T20*'BMP Removal Rates'!T$38)/100)))</f>
        <v>0.79749999999999999</v>
      </c>
      <c r="U20" s="110">
        <f>IF('(STEP 1) Baseline Conditions'!$B$6="Poor",('BMP Suitability 01'!U20*'BMP Removal Rates'!U$41)/100, IF('(STEP 1) Baseline Conditions'!$B$6="Average", ('BMP Suitability 01'!U20*'BMP Removal Rates'!U$42)/100, IF('(STEP 1) Baseline Conditions'!$B$6="Best",('BMP Suitability 01'!U20*'BMP Removal Rates'!U$38)/100)))</f>
        <v>0.52500000000000002</v>
      </c>
      <c r="V20" s="110">
        <f>IF('(STEP 1) Baseline Conditions'!$B$6="Poor",('BMP Suitability 01'!V20*'BMP Removal Rates'!V$41)/100, IF('(STEP 1) Baseline Conditions'!$B$6="Average", ('BMP Suitability 01'!V20*'BMP Removal Rates'!V$42)/100, IF('(STEP 1) Baseline Conditions'!$B$6="Best",('BMP Suitability 01'!V20*'BMP Removal Rates'!V$38)/100)))</f>
        <v>0</v>
      </c>
      <c r="W20" s="110">
        <f>IF('(STEP 1) Baseline Conditions'!$B$6="Poor",('BMP Suitability 01'!W20*'BMP Removal Rates'!W$41)/100, IF('(STEP 1) Baseline Conditions'!$B$6="Average", ('BMP Suitability 01'!W20*'BMP Removal Rates'!W$42)/100, IF('(STEP 1) Baseline Conditions'!$B$6="Best",('BMP Suitability 01'!W20*'BMP Removal Rates'!W$38)/100)))</f>
        <v>0</v>
      </c>
      <c r="X20" s="110">
        <f>IF('(STEP 1) Baseline Conditions'!$B$6="Poor",('BMP Suitability 01'!X20*'BMP Removal Rates'!X$41)/100, IF('(STEP 1) Baseline Conditions'!$B$6="Average", ('BMP Suitability 01'!X20*'BMP Removal Rates'!X$42)/100, IF('(STEP 1) Baseline Conditions'!$B$6="Best",('BMP Suitability 01'!X20*'BMP Removal Rates'!X$38)/100)))</f>
        <v>0.85</v>
      </c>
      <c r="Y20" s="110">
        <f>IF('(STEP 1) Baseline Conditions'!$B$6="Poor",('BMP Suitability 01'!Y20*'BMP Removal Rates'!Y$41)/100, IF('(STEP 1) Baseline Conditions'!$B$6="Average", ('BMP Suitability 01'!Y20*'BMP Removal Rates'!Y$42)/100, IF('(STEP 1) Baseline Conditions'!$B$6="Best",('BMP Suitability 01'!Y20*'BMP Removal Rates'!Y$38)/100)))</f>
        <v>0.22</v>
      </c>
      <c r="Z20" s="110">
        <f>IF('(STEP 1) Baseline Conditions'!$B$6="Poor",('BMP Suitability 01'!Z20*'BMP Removal Rates'!Z$41)/100, IF('(STEP 1) Baseline Conditions'!$B$6="Average", ('BMP Suitability 01'!Z20*'BMP Removal Rates'!Z$42)/100, IF('(STEP 1) Baseline Conditions'!$B$6="Best",('BMP Suitability 01'!Z20*'BMP Removal Rates'!Z$38)/100)))</f>
        <v>0.75</v>
      </c>
      <c r="AA20" s="110">
        <f>IF('(STEP 1) Baseline Conditions'!$B$6="Poor",('BMP Suitability 01'!AA20*'BMP Removal Rates'!AA$41)/100, IF('(STEP 1) Baseline Conditions'!$B$6="Average", ('BMP Suitability 01'!AA20*'BMP Removal Rates'!AA$42)/100, IF('(STEP 1) Baseline Conditions'!$B$6="Best",('BMP Suitability 01'!AA20*'BMP Removal Rates'!AA$38)/100)))</f>
        <v>0.71750000000000003</v>
      </c>
      <c r="AB20" s="110">
        <f>IF('(STEP 1) Baseline Conditions'!$B$6="Poor",('BMP Suitability 01'!AB20*'BMP Removal Rates'!AB$41)/100, IF('(STEP 1) Baseline Conditions'!$B$6="Average", ('BMP Suitability 01'!AB20*'BMP Removal Rates'!AB$42)/100, IF('(STEP 1) Baseline Conditions'!$B$6="Best",('BMP Suitability 01'!AB20*'BMP Removal Rates'!AB$38)/100)))</f>
        <v>0</v>
      </c>
      <c r="AC20" s="110">
        <f>IF('(STEP 1) Baseline Conditions'!$B$6="Poor",('BMP Suitability 01'!AC20*'BMP Removal Rates'!AC$41)/100, IF('(STEP 1) Baseline Conditions'!$B$6="Average", ('BMP Suitability 01'!AC20*'BMP Removal Rates'!AC$42)/100, IF('(STEP 1) Baseline Conditions'!$B$6="Best",('BMP Suitability 01'!AC20*'BMP Removal Rates'!AC$38)/100)))</f>
        <v>0</v>
      </c>
    </row>
    <row r="21" spans="1:29" x14ac:dyDescent="0.25">
      <c r="A21" s="3" t="s">
        <v>36</v>
      </c>
      <c r="B21" s="45">
        <f>IF(INDEX('Dosskey Coefficients'!$N$2:$N$20,MATCH('(STEP 1) Baseline Conditions'!$B$14,'Dosskey Coefficients'!$K$2:$K$20,0),0)&lt;0,('BMP Suitability 01'!B21*'BMP Removal Rates'!$B$38)/100, 'BMP Suitability 01'!B21*'BMP Removal Rates'!$B$39/100)</f>
        <v>0.87</v>
      </c>
      <c r="C21" s="45">
        <f>IF(INDEX('Dosskey Coefficients'!$N$2:$N$20,MATCH('(STEP 1) Baseline Conditions'!$B$14,'Dosskey Coefficients'!$K$2:$K$20,0),0)&lt;0,('BMP Suitability 01'!C21*$C$38)/100, 'BMP Suitability 01'!C21*$C$39/100)</f>
        <v>0.64500000000000002</v>
      </c>
      <c r="D21" s="45">
        <f>('BMP Suitability 01'!D21*'BMP Removal Rates'!$D$38)/100</f>
        <v>0.62</v>
      </c>
      <c r="E21" s="45">
        <f>('BMP Suitability 01'!E21*'BMP Removal Rates'!$E$38)/100</f>
        <v>0.38500000000000001</v>
      </c>
      <c r="F21" s="45">
        <f>('BMP Suitability 01'!F21*'BMP Removal Rates'!$F$38)/100</f>
        <v>0.4</v>
      </c>
      <c r="G21" s="45">
        <f>('BMP Suitability 01'!G21*'BMP Removal Rates'!$G$38)/100</f>
        <v>0.75</v>
      </c>
      <c r="H21" s="45">
        <f>('BMP Suitability 01'!H21*'BMP Removal Rates'!$H$38)/100</f>
        <v>0.95</v>
      </c>
      <c r="I21" s="45">
        <f>('BMP Suitability 01'!I21*'BMP Removal Rates'!$I$38)/100</f>
        <v>0.85</v>
      </c>
      <c r="J21" s="45">
        <f>('BMP Suitability 01'!J21*'BMP Removal Rates'!$J$38)/100</f>
        <v>0.9</v>
      </c>
      <c r="K21" s="45">
        <f>('BMP Suitability 01'!K21*'BMP Removal Rates'!$K$38)/100</f>
        <v>0.75</v>
      </c>
      <c r="L21" s="45">
        <f>('BMP Suitability 01'!L21*'BMP Removal Rates'!$L$38)/100</f>
        <v>0.69</v>
      </c>
      <c r="M21" s="45">
        <f>('BMP Suitability 01'!M21*'BMP Removal Rates'!$M$38)/100</f>
        <v>0.77500000000000002</v>
      </c>
      <c r="N21" s="110">
        <f>IF('(STEP 1) Baseline Conditions'!$B$6="Poor",('BMP Suitability 01'!N21*'BMP Removal Rates'!N$41)/100, IF('(STEP 1) Baseline Conditions'!$B$6="Average", ('BMP Suitability 01'!N21*'BMP Removal Rates'!N$42)/100, IF('(STEP 1) Baseline Conditions'!$B$6="Best",('BMP Suitability 01'!N21*'BMP Removal Rates'!N$38)/100)))</f>
        <v>0.82</v>
      </c>
      <c r="O21" s="110">
        <f>IF('(STEP 1) Baseline Conditions'!$B$6="Poor",('BMP Suitability 01'!O21*'BMP Removal Rates'!O$41)/100, IF('(STEP 1) Baseline Conditions'!$B$6="Average", ('BMP Suitability 01'!O21*'BMP Removal Rates'!O$42)/100, IF('(STEP 1) Baseline Conditions'!$B$6="Best",('BMP Suitability 01'!O21*'BMP Removal Rates'!O$38)/100)))</f>
        <v>0.21</v>
      </c>
      <c r="P21" s="110">
        <f>IF('(STEP 1) Baseline Conditions'!$B$6="Poor",('BMP Suitability 01'!P21*'BMP Removal Rates'!P$41)/100, IF('(STEP 1) Baseline Conditions'!$B$6="Average", ('BMP Suitability 01'!P21*'BMP Removal Rates'!P$42)/100, IF('(STEP 1) Baseline Conditions'!$B$6="Best",('BMP Suitability 01'!P21*'BMP Removal Rates'!P$38)/100)))</f>
        <v>0</v>
      </c>
      <c r="Q21" s="110">
        <f>IF('(STEP 1) Baseline Conditions'!$B$6="Poor",('BMP Suitability 01'!Q21*'BMP Removal Rates'!Q$41)/100, IF('(STEP 1) Baseline Conditions'!$B$6="Average", ('BMP Suitability 01'!Q21*'BMP Removal Rates'!Q$42)/100, IF('(STEP 1) Baseline Conditions'!$B$6="Best",('BMP Suitability 01'!Q21*'BMP Removal Rates'!Q$38)/100)))</f>
        <v>0</v>
      </c>
      <c r="R21" s="110">
        <f>IF('(STEP 1) Baseline Conditions'!$B$6="Poor",('BMP Suitability 01'!R21*'BMP Removal Rates'!R$41)/100, IF('(STEP 1) Baseline Conditions'!$B$6="Average", ('BMP Suitability 01'!R21*'BMP Removal Rates'!R$42)/100, IF('(STEP 1) Baseline Conditions'!$B$6="Best",('BMP Suitability 01'!R21*'BMP Removal Rates'!R$38)/100)))</f>
        <v>0</v>
      </c>
      <c r="S21" s="110">
        <f>IF('(STEP 1) Baseline Conditions'!$B$6="Poor",('BMP Suitability 01'!S21*'BMP Removal Rates'!S$41)/100, IF('(STEP 1) Baseline Conditions'!$B$6="Average", ('BMP Suitability 01'!S21*'BMP Removal Rates'!S$42)/100, IF('(STEP 1) Baseline Conditions'!$B$6="Best",('BMP Suitability 01'!S21*'BMP Removal Rates'!S$38)/100)))</f>
        <v>0</v>
      </c>
      <c r="T21" s="110">
        <f>IF('(STEP 1) Baseline Conditions'!$B$6="Poor",('BMP Suitability 01'!T21*'BMP Removal Rates'!T$41)/100, IF('(STEP 1) Baseline Conditions'!$B$6="Average", ('BMP Suitability 01'!T21*'BMP Removal Rates'!T$42)/100, IF('(STEP 1) Baseline Conditions'!$B$6="Best",('BMP Suitability 01'!T21*'BMP Removal Rates'!T$38)/100)))</f>
        <v>0.79749999999999999</v>
      </c>
      <c r="U21" s="110">
        <f>IF('(STEP 1) Baseline Conditions'!$B$6="Poor",('BMP Suitability 01'!U21*'BMP Removal Rates'!U$41)/100, IF('(STEP 1) Baseline Conditions'!$B$6="Average", ('BMP Suitability 01'!U21*'BMP Removal Rates'!U$42)/100, IF('(STEP 1) Baseline Conditions'!$B$6="Best",('BMP Suitability 01'!U21*'BMP Removal Rates'!U$38)/100)))</f>
        <v>0.52500000000000002</v>
      </c>
      <c r="V21" s="110">
        <f>IF('(STEP 1) Baseline Conditions'!$B$6="Poor",('BMP Suitability 01'!V21*'BMP Removal Rates'!V$41)/100, IF('(STEP 1) Baseline Conditions'!$B$6="Average", ('BMP Suitability 01'!V21*'BMP Removal Rates'!V$42)/100, IF('(STEP 1) Baseline Conditions'!$B$6="Best",('BMP Suitability 01'!V21*'BMP Removal Rates'!V$38)/100)))</f>
        <v>0.72750000000000004</v>
      </c>
      <c r="W21" s="110">
        <f>IF('(STEP 1) Baseline Conditions'!$B$6="Poor",('BMP Suitability 01'!W21*'BMP Removal Rates'!W$41)/100, IF('(STEP 1) Baseline Conditions'!$B$6="Average", ('BMP Suitability 01'!W21*'BMP Removal Rates'!W$42)/100, IF('(STEP 1) Baseline Conditions'!$B$6="Best",('BMP Suitability 01'!W21*'BMP Removal Rates'!W$38)/100)))</f>
        <v>0.755</v>
      </c>
      <c r="X21" s="110">
        <f>IF('(STEP 1) Baseline Conditions'!$B$6="Poor",('BMP Suitability 01'!X21*'BMP Removal Rates'!X$41)/100, IF('(STEP 1) Baseline Conditions'!$B$6="Average", ('BMP Suitability 01'!X21*'BMP Removal Rates'!X$42)/100, IF('(STEP 1) Baseline Conditions'!$B$6="Best",('BMP Suitability 01'!X21*'BMP Removal Rates'!X$38)/100)))</f>
        <v>0</v>
      </c>
      <c r="Y21" s="110">
        <f>IF('(STEP 1) Baseline Conditions'!$B$6="Poor",('BMP Suitability 01'!Y21*'BMP Removal Rates'!Y$41)/100, IF('(STEP 1) Baseline Conditions'!$B$6="Average", ('BMP Suitability 01'!Y21*'BMP Removal Rates'!Y$42)/100, IF('(STEP 1) Baseline Conditions'!$B$6="Best",('BMP Suitability 01'!Y21*'BMP Removal Rates'!Y$38)/100)))</f>
        <v>0</v>
      </c>
      <c r="Z21" s="110">
        <f>IF('(STEP 1) Baseline Conditions'!$B$6="Poor",('BMP Suitability 01'!Z21*'BMP Removal Rates'!Z$41)/100, IF('(STEP 1) Baseline Conditions'!$B$6="Average", ('BMP Suitability 01'!Z21*'BMP Removal Rates'!Z$42)/100, IF('(STEP 1) Baseline Conditions'!$B$6="Best",('BMP Suitability 01'!Z21*'BMP Removal Rates'!Z$38)/100)))</f>
        <v>0.75</v>
      </c>
      <c r="AA21" s="110">
        <f>IF('(STEP 1) Baseline Conditions'!$B$6="Poor",('BMP Suitability 01'!AA21*'BMP Removal Rates'!AA$41)/100, IF('(STEP 1) Baseline Conditions'!$B$6="Average", ('BMP Suitability 01'!AA21*'BMP Removal Rates'!AA$42)/100, IF('(STEP 1) Baseline Conditions'!$B$6="Best",('BMP Suitability 01'!AA21*'BMP Removal Rates'!AA$38)/100)))</f>
        <v>0.71750000000000003</v>
      </c>
      <c r="AB21" s="110">
        <f>IF('(STEP 1) Baseline Conditions'!$B$6="Poor",('BMP Suitability 01'!AB21*'BMP Removal Rates'!AB$41)/100, IF('(STEP 1) Baseline Conditions'!$B$6="Average", ('BMP Suitability 01'!AB21*'BMP Removal Rates'!AB$42)/100, IF('(STEP 1) Baseline Conditions'!$B$6="Best",('BMP Suitability 01'!AB21*'BMP Removal Rates'!AB$38)/100)))</f>
        <v>0</v>
      </c>
      <c r="AC21" s="110">
        <f>IF('(STEP 1) Baseline Conditions'!$B$6="Poor",('BMP Suitability 01'!AC21*'BMP Removal Rates'!AC$41)/100, IF('(STEP 1) Baseline Conditions'!$B$6="Average", ('BMP Suitability 01'!AC21*'BMP Removal Rates'!AC$42)/100, IF('(STEP 1) Baseline Conditions'!$B$6="Best",('BMP Suitability 01'!AC21*'BMP Removal Rates'!AC$38)/100)))</f>
        <v>0.62</v>
      </c>
    </row>
    <row r="22" spans="1:29" x14ac:dyDescent="0.25">
      <c r="A22" s="3" t="s">
        <v>37</v>
      </c>
      <c r="B22" s="45">
        <f>IF(INDEX('Dosskey Coefficients'!$N$2:$N$20,MATCH('(STEP 1) Baseline Conditions'!$B$14,'Dosskey Coefficients'!$K$2:$K$20,0),0)&lt;0,('BMP Suitability 01'!B22*'BMP Removal Rates'!$B$38)/100, 'BMP Suitability 01'!B22*'BMP Removal Rates'!$B$39/100)</f>
        <v>0</v>
      </c>
      <c r="C22" s="45">
        <f>IF(INDEX('Dosskey Coefficients'!$N$2:$N$20,MATCH('(STEP 1) Baseline Conditions'!$B$14,'Dosskey Coefficients'!$K$2:$K$20,0),0)&lt;0,('BMP Suitability 01'!C22*$C$38)/100, 'BMP Suitability 01'!C22*$C$39/100)</f>
        <v>0</v>
      </c>
      <c r="D22" s="45">
        <f>('BMP Suitability 01'!D22*'BMP Removal Rates'!$D$38)/100</f>
        <v>0.62</v>
      </c>
      <c r="E22" s="45">
        <f>('BMP Suitability 01'!E22*'BMP Removal Rates'!$E$38)/100</f>
        <v>0.38500000000000001</v>
      </c>
      <c r="F22" s="45">
        <f>('BMP Suitability 01'!F22*'BMP Removal Rates'!$F$38)/100</f>
        <v>0.4</v>
      </c>
      <c r="G22" s="45">
        <f>('BMP Suitability 01'!G22*'BMP Removal Rates'!$G$38)/100</f>
        <v>0.75</v>
      </c>
      <c r="H22" s="45">
        <f>('BMP Suitability 01'!H22*'BMP Removal Rates'!$H$38)/100</f>
        <v>0</v>
      </c>
      <c r="I22" s="45">
        <f>('BMP Suitability 01'!I22*'BMP Removal Rates'!$I$38)/100</f>
        <v>0</v>
      </c>
      <c r="J22" s="45">
        <f>('BMP Suitability 01'!J22*'BMP Removal Rates'!$J$38)/100</f>
        <v>0.9</v>
      </c>
      <c r="K22" s="45">
        <f>('BMP Suitability 01'!K22*'BMP Removal Rates'!$K$38)/100</f>
        <v>0.75</v>
      </c>
      <c r="L22" s="45">
        <f>('BMP Suitability 01'!L22*'BMP Removal Rates'!$L$38)/100</f>
        <v>0</v>
      </c>
      <c r="M22" s="45">
        <f>('BMP Suitability 01'!M22*'BMP Removal Rates'!$M$38)/100</f>
        <v>0</v>
      </c>
      <c r="N22" s="110">
        <f>IF('(STEP 1) Baseline Conditions'!$B$6="Poor",('BMP Suitability 01'!N22*'BMP Removal Rates'!N$41)/100, IF('(STEP 1) Baseline Conditions'!$B$6="Average", ('BMP Suitability 01'!N22*'BMP Removal Rates'!N$42)/100, IF('(STEP 1) Baseline Conditions'!$B$6="Best",('BMP Suitability 01'!N22*'BMP Removal Rates'!N$38)/100)))</f>
        <v>0.82</v>
      </c>
      <c r="O22" s="110">
        <f>IF('(STEP 1) Baseline Conditions'!$B$6="Poor",('BMP Suitability 01'!O22*'BMP Removal Rates'!O$41)/100, IF('(STEP 1) Baseline Conditions'!$B$6="Average", ('BMP Suitability 01'!O22*'BMP Removal Rates'!O$42)/100, IF('(STEP 1) Baseline Conditions'!$B$6="Best",('BMP Suitability 01'!O22*'BMP Removal Rates'!O$38)/100)))</f>
        <v>0.21</v>
      </c>
      <c r="P22" s="110">
        <f>IF('(STEP 1) Baseline Conditions'!$B$6="Poor",('BMP Suitability 01'!P22*'BMP Removal Rates'!P$41)/100, IF('(STEP 1) Baseline Conditions'!$B$6="Average", ('BMP Suitability 01'!P22*'BMP Removal Rates'!P$42)/100, IF('(STEP 1) Baseline Conditions'!$B$6="Best",('BMP Suitability 01'!P22*'BMP Removal Rates'!P$38)/100)))</f>
        <v>0</v>
      </c>
      <c r="Q22" s="110">
        <f>IF('(STEP 1) Baseline Conditions'!$B$6="Poor",('BMP Suitability 01'!Q22*'BMP Removal Rates'!Q$41)/100, IF('(STEP 1) Baseline Conditions'!$B$6="Average", ('BMP Suitability 01'!Q22*'BMP Removal Rates'!Q$42)/100, IF('(STEP 1) Baseline Conditions'!$B$6="Best",('BMP Suitability 01'!Q22*'BMP Removal Rates'!Q$38)/100)))</f>
        <v>0</v>
      </c>
      <c r="R22" s="110">
        <f>IF('(STEP 1) Baseline Conditions'!$B$6="Poor",('BMP Suitability 01'!R22*'BMP Removal Rates'!R$41)/100, IF('(STEP 1) Baseline Conditions'!$B$6="Average", ('BMP Suitability 01'!R22*'BMP Removal Rates'!R$42)/100, IF('(STEP 1) Baseline Conditions'!$B$6="Best",('BMP Suitability 01'!R22*'BMP Removal Rates'!R$38)/100)))</f>
        <v>0</v>
      </c>
      <c r="S22" s="110">
        <f>IF('(STEP 1) Baseline Conditions'!$B$6="Poor",('BMP Suitability 01'!S22*'BMP Removal Rates'!S$41)/100, IF('(STEP 1) Baseline Conditions'!$B$6="Average", ('BMP Suitability 01'!S22*'BMP Removal Rates'!S$42)/100, IF('(STEP 1) Baseline Conditions'!$B$6="Best",('BMP Suitability 01'!S22*'BMP Removal Rates'!S$38)/100)))</f>
        <v>0</v>
      </c>
      <c r="T22" s="110">
        <f>IF('(STEP 1) Baseline Conditions'!$B$6="Poor",('BMP Suitability 01'!T22*'BMP Removal Rates'!T$41)/100, IF('(STEP 1) Baseline Conditions'!$B$6="Average", ('BMP Suitability 01'!T22*'BMP Removal Rates'!T$42)/100, IF('(STEP 1) Baseline Conditions'!$B$6="Best",('BMP Suitability 01'!T22*'BMP Removal Rates'!T$38)/100)))</f>
        <v>0.79749999999999999</v>
      </c>
      <c r="U22" s="110">
        <f>IF('(STEP 1) Baseline Conditions'!$B$6="Poor",('BMP Suitability 01'!U22*'BMP Removal Rates'!U$41)/100, IF('(STEP 1) Baseline Conditions'!$B$6="Average", ('BMP Suitability 01'!U22*'BMP Removal Rates'!U$42)/100, IF('(STEP 1) Baseline Conditions'!$B$6="Best",('BMP Suitability 01'!U22*'BMP Removal Rates'!U$38)/100)))</f>
        <v>0.52500000000000002</v>
      </c>
      <c r="V22" s="110">
        <f>IF('(STEP 1) Baseline Conditions'!$B$6="Poor",('BMP Suitability 01'!V22*'BMP Removal Rates'!V$41)/100, IF('(STEP 1) Baseline Conditions'!$B$6="Average", ('BMP Suitability 01'!V22*'BMP Removal Rates'!V$42)/100, IF('(STEP 1) Baseline Conditions'!$B$6="Best",('BMP Suitability 01'!V22*'BMP Removal Rates'!V$38)/100)))</f>
        <v>0.72750000000000004</v>
      </c>
      <c r="W22" s="110">
        <f>IF('(STEP 1) Baseline Conditions'!$B$6="Poor",('BMP Suitability 01'!W22*'BMP Removal Rates'!W$41)/100, IF('(STEP 1) Baseline Conditions'!$B$6="Average", ('BMP Suitability 01'!W22*'BMP Removal Rates'!W$42)/100, IF('(STEP 1) Baseline Conditions'!$B$6="Best",('BMP Suitability 01'!W22*'BMP Removal Rates'!W$38)/100)))</f>
        <v>0.755</v>
      </c>
      <c r="X22" s="110">
        <f>IF('(STEP 1) Baseline Conditions'!$B$6="Poor",('BMP Suitability 01'!X22*'BMP Removal Rates'!X$41)/100, IF('(STEP 1) Baseline Conditions'!$B$6="Average", ('BMP Suitability 01'!X22*'BMP Removal Rates'!X$42)/100, IF('(STEP 1) Baseline Conditions'!$B$6="Best",('BMP Suitability 01'!X22*'BMP Removal Rates'!X$38)/100)))</f>
        <v>0</v>
      </c>
      <c r="Y22" s="110">
        <f>IF('(STEP 1) Baseline Conditions'!$B$6="Poor",('BMP Suitability 01'!Y22*'BMP Removal Rates'!Y$41)/100, IF('(STEP 1) Baseline Conditions'!$B$6="Average", ('BMP Suitability 01'!Y22*'BMP Removal Rates'!Y$42)/100, IF('(STEP 1) Baseline Conditions'!$B$6="Best",('BMP Suitability 01'!Y22*'BMP Removal Rates'!Y$38)/100)))</f>
        <v>0</v>
      </c>
      <c r="Z22" s="110">
        <f>IF('(STEP 1) Baseline Conditions'!$B$6="Poor",('BMP Suitability 01'!Z22*'BMP Removal Rates'!Z$41)/100, IF('(STEP 1) Baseline Conditions'!$B$6="Average", ('BMP Suitability 01'!Z22*'BMP Removal Rates'!Z$42)/100, IF('(STEP 1) Baseline Conditions'!$B$6="Best",('BMP Suitability 01'!Z22*'BMP Removal Rates'!Z$38)/100)))</f>
        <v>0</v>
      </c>
      <c r="AA22" s="110">
        <f>IF('(STEP 1) Baseline Conditions'!$B$6="Poor",('BMP Suitability 01'!AA22*'BMP Removal Rates'!AA$41)/100, IF('(STEP 1) Baseline Conditions'!$B$6="Average", ('BMP Suitability 01'!AA22*'BMP Removal Rates'!AA$42)/100, IF('(STEP 1) Baseline Conditions'!$B$6="Best",('BMP Suitability 01'!AA22*'BMP Removal Rates'!AA$38)/100)))</f>
        <v>0</v>
      </c>
      <c r="AB22" s="110">
        <f>IF('(STEP 1) Baseline Conditions'!$B$6="Poor",('BMP Suitability 01'!AB22*'BMP Removal Rates'!AB$41)/100, IF('(STEP 1) Baseline Conditions'!$B$6="Average", ('BMP Suitability 01'!AB22*'BMP Removal Rates'!AB$42)/100, IF('(STEP 1) Baseline Conditions'!$B$6="Best",('BMP Suitability 01'!AB22*'BMP Removal Rates'!AB$38)/100)))</f>
        <v>0.55437499999999995</v>
      </c>
      <c r="AC22" s="110">
        <f>IF('(STEP 1) Baseline Conditions'!$B$6="Poor",('BMP Suitability 01'!AC22*'BMP Removal Rates'!AC$41)/100, IF('(STEP 1) Baseline Conditions'!$B$6="Average", ('BMP Suitability 01'!AC22*'BMP Removal Rates'!AC$42)/100, IF('(STEP 1) Baseline Conditions'!$B$6="Best",('BMP Suitability 01'!AC22*'BMP Removal Rates'!AC$38)/100)))</f>
        <v>0.62</v>
      </c>
    </row>
    <row r="23" spans="1:29" x14ac:dyDescent="0.25">
      <c r="A23" s="3" t="s">
        <v>38</v>
      </c>
      <c r="B23" s="45">
        <f>IF(INDEX('Dosskey Coefficients'!$N$2:$N$20,MATCH('(STEP 1) Baseline Conditions'!$B$14,'Dosskey Coefficients'!$K$2:$K$20,0),0)&lt;0,('BMP Suitability 01'!B23*'BMP Removal Rates'!$B$38)/100, 'BMP Suitability 01'!B23*'BMP Removal Rates'!$B$39/100)</f>
        <v>0</v>
      </c>
      <c r="C23" s="45">
        <f>IF(INDEX('Dosskey Coefficients'!$N$2:$N$20,MATCH('(STEP 1) Baseline Conditions'!$B$14,'Dosskey Coefficients'!$K$2:$K$20,0),0)&lt;0,('BMP Suitability 01'!C23*$C$38)/100, 'BMP Suitability 01'!C23*$C$39/100)</f>
        <v>0</v>
      </c>
      <c r="D23" s="45">
        <f>('BMP Suitability 01'!D23*'BMP Removal Rates'!$D$38)/100</f>
        <v>0.62</v>
      </c>
      <c r="E23" s="45">
        <f>('BMP Suitability 01'!E23*'BMP Removal Rates'!$E$38)/100</f>
        <v>0.38500000000000001</v>
      </c>
      <c r="F23" s="45">
        <f>('BMP Suitability 01'!F23*'BMP Removal Rates'!$F$38)/100</f>
        <v>0.4</v>
      </c>
      <c r="G23" s="45">
        <f>('BMP Suitability 01'!G23*'BMP Removal Rates'!$G$38)/100</f>
        <v>0.75</v>
      </c>
      <c r="H23" s="45">
        <f>('BMP Suitability 01'!H23*'BMP Removal Rates'!$H$38)/100</f>
        <v>0</v>
      </c>
      <c r="I23" s="45">
        <f>('BMP Suitability 01'!I23*'BMP Removal Rates'!$I$38)/100</f>
        <v>0</v>
      </c>
      <c r="J23" s="45">
        <f>('BMP Suitability 01'!J23*'BMP Removal Rates'!$J$38)/100</f>
        <v>0.9</v>
      </c>
      <c r="K23" s="45">
        <f>('BMP Suitability 01'!K23*'BMP Removal Rates'!$K$38)/100</f>
        <v>0.75</v>
      </c>
      <c r="L23" s="45">
        <f>('BMP Suitability 01'!L23*'BMP Removal Rates'!$L$38)/100</f>
        <v>0</v>
      </c>
      <c r="M23" s="45">
        <f>('BMP Suitability 01'!M23*'BMP Removal Rates'!$M$38)/100</f>
        <v>0</v>
      </c>
      <c r="N23" s="110">
        <f>IF('(STEP 1) Baseline Conditions'!$B$6="Poor",('BMP Suitability 01'!N23*'BMP Removal Rates'!N$41)/100, IF('(STEP 1) Baseline Conditions'!$B$6="Average", ('BMP Suitability 01'!N23*'BMP Removal Rates'!N$42)/100, IF('(STEP 1) Baseline Conditions'!$B$6="Best",('BMP Suitability 01'!N23*'BMP Removal Rates'!N$38)/100)))</f>
        <v>0.82</v>
      </c>
      <c r="O23" s="110">
        <f>IF('(STEP 1) Baseline Conditions'!$B$6="Poor",('BMP Suitability 01'!O23*'BMP Removal Rates'!O$41)/100, IF('(STEP 1) Baseline Conditions'!$B$6="Average", ('BMP Suitability 01'!O23*'BMP Removal Rates'!O$42)/100, IF('(STEP 1) Baseline Conditions'!$B$6="Best",('BMP Suitability 01'!O23*'BMP Removal Rates'!O$38)/100)))</f>
        <v>0.21</v>
      </c>
      <c r="P23" s="110">
        <f>IF('(STEP 1) Baseline Conditions'!$B$6="Poor",('BMP Suitability 01'!P23*'BMP Removal Rates'!P$41)/100, IF('(STEP 1) Baseline Conditions'!$B$6="Average", ('BMP Suitability 01'!P23*'BMP Removal Rates'!P$42)/100, IF('(STEP 1) Baseline Conditions'!$B$6="Best",('BMP Suitability 01'!P23*'BMP Removal Rates'!P$38)/100)))</f>
        <v>0</v>
      </c>
      <c r="Q23" s="110">
        <f>IF('(STEP 1) Baseline Conditions'!$B$6="Poor",('BMP Suitability 01'!Q23*'BMP Removal Rates'!Q$41)/100, IF('(STEP 1) Baseline Conditions'!$B$6="Average", ('BMP Suitability 01'!Q23*'BMP Removal Rates'!Q$42)/100, IF('(STEP 1) Baseline Conditions'!$B$6="Best",('BMP Suitability 01'!Q23*'BMP Removal Rates'!Q$38)/100)))</f>
        <v>0</v>
      </c>
      <c r="R23" s="110">
        <f>IF('(STEP 1) Baseline Conditions'!$B$6="Poor",('BMP Suitability 01'!R23*'BMP Removal Rates'!R$41)/100, IF('(STEP 1) Baseline Conditions'!$B$6="Average", ('BMP Suitability 01'!R23*'BMP Removal Rates'!R$42)/100, IF('(STEP 1) Baseline Conditions'!$B$6="Best",('BMP Suitability 01'!R23*'BMP Removal Rates'!R$38)/100)))</f>
        <v>0</v>
      </c>
      <c r="S23" s="110">
        <f>IF('(STEP 1) Baseline Conditions'!$B$6="Poor",('BMP Suitability 01'!S23*'BMP Removal Rates'!S$41)/100, IF('(STEP 1) Baseline Conditions'!$B$6="Average", ('BMP Suitability 01'!S23*'BMP Removal Rates'!S$42)/100, IF('(STEP 1) Baseline Conditions'!$B$6="Best",('BMP Suitability 01'!S23*'BMP Removal Rates'!S$38)/100)))</f>
        <v>0</v>
      </c>
      <c r="T23" s="110">
        <f>IF('(STEP 1) Baseline Conditions'!$B$6="Poor",('BMP Suitability 01'!T23*'BMP Removal Rates'!T$41)/100, IF('(STEP 1) Baseline Conditions'!$B$6="Average", ('BMP Suitability 01'!T23*'BMP Removal Rates'!T$42)/100, IF('(STEP 1) Baseline Conditions'!$B$6="Best",('BMP Suitability 01'!T23*'BMP Removal Rates'!T$38)/100)))</f>
        <v>0.79749999999999999</v>
      </c>
      <c r="U23" s="110">
        <f>IF('(STEP 1) Baseline Conditions'!$B$6="Poor",('BMP Suitability 01'!U23*'BMP Removal Rates'!U$41)/100, IF('(STEP 1) Baseline Conditions'!$B$6="Average", ('BMP Suitability 01'!U23*'BMP Removal Rates'!U$42)/100, IF('(STEP 1) Baseline Conditions'!$B$6="Best",('BMP Suitability 01'!U23*'BMP Removal Rates'!U$38)/100)))</f>
        <v>0.52500000000000002</v>
      </c>
      <c r="V23" s="110">
        <f>IF('(STEP 1) Baseline Conditions'!$B$6="Poor",('BMP Suitability 01'!V23*'BMP Removal Rates'!V$41)/100, IF('(STEP 1) Baseline Conditions'!$B$6="Average", ('BMP Suitability 01'!V23*'BMP Removal Rates'!V$42)/100, IF('(STEP 1) Baseline Conditions'!$B$6="Best",('BMP Suitability 01'!V23*'BMP Removal Rates'!V$38)/100)))</f>
        <v>0.72750000000000004</v>
      </c>
      <c r="W23" s="110">
        <f>IF('(STEP 1) Baseline Conditions'!$B$6="Poor",('BMP Suitability 01'!W23*'BMP Removal Rates'!W$41)/100, IF('(STEP 1) Baseline Conditions'!$B$6="Average", ('BMP Suitability 01'!W23*'BMP Removal Rates'!W$42)/100, IF('(STEP 1) Baseline Conditions'!$B$6="Best",('BMP Suitability 01'!W23*'BMP Removal Rates'!W$38)/100)))</f>
        <v>0.755</v>
      </c>
      <c r="X23" s="110">
        <f>IF('(STEP 1) Baseline Conditions'!$B$6="Poor",('BMP Suitability 01'!X23*'BMP Removal Rates'!X$41)/100, IF('(STEP 1) Baseline Conditions'!$B$6="Average", ('BMP Suitability 01'!X23*'BMP Removal Rates'!X$42)/100, IF('(STEP 1) Baseline Conditions'!$B$6="Best",('BMP Suitability 01'!X23*'BMP Removal Rates'!X$38)/100)))</f>
        <v>0</v>
      </c>
      <c r="Y23" s="110">
        <f>IF('(STEP 1) Baseline Conditions'!$B$6="Poor",('BMP Suitability 01'!Y23*'BMP Removal Rates'!Y$41)/100, IF('(STEP 1) Baseline Conditions'!$B$6="Average", ('BMP Suitability 01'!Y23*'BMP Removal Rates'!Y$42)/100, IF('(STEP 1) Baseline Conditions'!$B$6="Best",('BMP Suitability 01'!Y23*'BMP Removal Rates'!Y$38)/100)))</f>
        <v>0</v>
      </c>
      <c r="Z23" s="110">
        <f>IF('(STEP 1) Baseline Conditions'!$B$6="Poor",('BMP Suitability 01'!Z23*'BMP Removal Rates'!Z$41)/100, IF('(STEP 1) Baseline Conditions'!$B$6="Average", ('BMP Suitability 01'!Z23*'BMP Removal Rates'!Z$42)/100, IF('(STEP 1) Baseline Conditions'!$B$6="Best",('BMP Suitability 01'!Z23*'BMP Removal Rates'!Z$38)/100)))</f>
        <v>0.75</v>
      </c>
      <c r="AA23" s="110">
        <f>IF('(STEP 1) Baseline Conditions'!$B$6="Poor",('BMP Suitability 01'!AA23*'BMP Removal Rates'!AA$41)/100, IF('(STEP 1) Baseline Conditions'!$B$6="Average", ('BMP Suitability 01'!AA23*'BMP Removal Rates'!AA$42)/100, IF('(STEP 1) Baseline Conditions'!$B$6="Best",('BMP Suitability 01'!AA23*'BMP Removal Rates'!AA$38)/100)))</f>
        <v>0.71750000000000003</v>
      </c>
      <c r="AB23" s="110">
        <f>IF('(STEP 1) Baseline Conditions'!$B$6="Poor",('BMP Suitability 01'!AB23*'BMP Removal Rates'!AB$41)/100, IF('(STEP 1) Baseline Conditions'!$B$6="Average", ('BMP Suitability 01'!AB23*'BMP Removal Rates'!AB$42)/100, IF('(STEP 1) Baseline Conditions'!$B$6="Best",('BMP Suitability 01'!AB23*'BMP Removal Rates'!AB$38)/100)))</f>
        <v>0.55437499999999995</v>
      </c>
      <c r="AC23" s="110">
        <f>IF('(STEP 1) Baseline Conditions'!$B$6="Poor",('BMP Suitability 01'!AC23*'BMP Removal Rates'!AC$41)/100, IF('(STEP 1) Baseline Conditions'!$B$6="Average", ('BMP Suitability 01'!AC23*'BMP Removal Rates'!AC$42)/100, IF('(STEP 1) Baseline Conditions'!$B$6="Best",('BMP Suitability 01'!AC23*'BMP Removal Rates'!AC$38)/100)))</f>
        <v>0.62</v>
      </c>
    </row>
    <row r="24" spans="1:29" x14ac:dyDescent="0.25">
      <c r="A24" s="3" t="s">
        <v>39</v>
      </c>
      <c r="B24" s="45">
        <f>IF(INDEX('Dosskey Coefficients'!$N$2:$N$20,MATCH('(STEP 1) Baseline Conditions'!$B$14,'Dosskey Coefficients'!$K$2:$K$20,0),0)&lt;0,('BMP Suitability 01'!B24*'BMP Removal Rates'!$B$38)/100, 'BMP Suitability 01'!B24*'BMP Removal Rates'!$B$39/100)</f>
        <v>0.87</v>
      </c>
      <c r="C24" s="45">
        <f>IF(INDEX('Dosskey Coefficients'!$N$2:$N$20,MATCH('(STEP 1) Baseline Conditions'!$B$14,'Dosskey Coefficients'!$K$2:$K$20,0),0)&lt;0,('BMP Suitability 01'!C24*$C$38)/100, 'BMP Suitability 01'!C24*$C$39/100)</f>
        <v>0.64500000000000002</v>
      </c>
      <c r="D24" s="45">
        <f>('BMP Suitability 01'!D24*'BMP Removal Rates'!$D$38)/100</f>
        <v>0.62</v>
      </c>
      <c r="E24" s="45">
        <f>('BMP Suitability 01'!E24*'BMP Removal Rates'!$E$38)/100</f>
        <v>0.38500000000000001</v>
      </c>
      <c r="F24" s="45">
        <f>('BMP Suitability 01'!F24*'BMP Removal Rates'!$F$38)/100</f>
        <v>0.4</v>
      </c>
      <c r="G24" s="45">
        <f>('BMP Suitability 01'!G24*'BMP Removal Rates'!$G$38)/100</f>
        <v>0.75</v>
      </c>
      <c r="H24" s="45">
        <f>('BMP Suitability 01'!H24*'BMP Removal Rates'!$H$38)/100</f>
        <v>0.95</v>
      </c>
      <c r="I24" s="45">
        <f>('BMP Suitability 01'!I24*'BMP Removal Rates'!$I$38)/100</f>
        <v>0.85</v>
      </c>
      <c r="J24" s="45">
        <f>('BMP Suitability 01'!J24*'BMP Removal Rates'!$J$38)/100</f>
        <v>0.9</v>
      </c>
      <c r="K24" s="45">
        <f>('BMP Suitability 01'!K24*'BMP Removal Rates'!$K$38)/100</f>
        <v>0.75</v>
      </c>
      <c r="L24" s="45">
        <f>('BMP Suitability 01'!L24*'BMP Removal Rates'!$L$38)/100</f>
        <v>0</v>
      </c>
      <c r="M24" s="45">
        <f>('BMP Suitability 01'!M24*'BMP Removal Rates'!$M$38)/100</f>
        <v>0</v>
      </c>
      <c r="N24" s="110">
        <f>IF('(STEP 1) Baseline Conditions'!$B$6="Poor",('BMP Suitability 01'!N24*'BMP Removal Rates'!N$41)/100, IF('(STEP 1) Baseline Conditions'!$B$6="Average", ('BMP Suitability 01'!N24*'BMP Removal Rates'!N$42)/100, IF('(STEP 1) Baseline Conditions'!$B$6="Best",('BMP Suitability 01'!N24*'BMP Removal Rates'!N$38)/100)))</f>
        <v>0.82</v>
      </c>
      <c r="O24" s="110">
        <f>IF('(STEP 1) Baseline Conditions'!$B$6="Poor",('BMP Suitability 01'!O24*'BMP Removal Rates'!O$41)/100, IF('(STEP 1) Baseline Conditions'!$B$6="Average", ('BMP Suitability 01'!O24*'BMP Removal Rates'!O$42)/100, IF('(STEP 1) Baseline Conditions'!$B$6="Best",('BMP Suitability 01'!O24*'BMP Removal Rates'!O$38)/100)))</f>
        <v>0.21</v>
      </c>
      <c r="P24" s="110">
        <f>IF('(STEP 1) Baseline Conditions'!$B$6="Poor",('BMP Suitability 01'!P24*'BMP Removal Rates'!P$41)/100, IF('(STEP 1) Baseline Conditions'!$B$6="Average", ('BMP Suitability 01'!P24*'BMP Removal Rates'!P$42)/100, IF('(STEP 1) Baseline Conditions'!$B$6="Best",('BMP Suitability 01'!P24*'BMP Removal Rates'!P$38)/100)))</f>
        <v>0.83750000000000002</v>
      </c>
      <c r="Q24" s="110">
        <f>IF('(STEP 1) Baseline Conditions'!$B$6="Poor",('BMP Suitability 01'!Q24*'BMP Removal Rates'!Q$41)/100, IF('(STEP 1) Baseline Conditions'!$B$6="Average", ('BMP Suitability 01'!Q24*'BMP Removal Rates'!Q$42)/100, IF('(STEP 1) Baseline Conditions'!$B$6="Best",('BMP Suitability 01'!Q24*'BMP Removal Rates'!Q$38)/100)))</f>
        <v>0.73750000000000004</v>
      </c>
      <c r="R24" s="110">
        <f>IF('(STEP 1) Baseline Conditions'!$B$6="Poor",('BMP Suitability 01'!R24*'BMP Removal Rates'!R$41)/100, IF('(STEP 1) Baseline Conditions'!$B$6="Average", ('BMP Suitability 01'!R24*'BMP Removal Rates'!R$42)/100, IF('(STEP 1) Baseline Conditions'!$B$6="Best",('BMP Suitability 01'!R24*'BMP Removal Rates'!R$38)/100)))</f>
        <v>0</v>
      </c>
      <c r="S24" s="110">
        <f>IF('(STEP 1) Baseline Conditions'!$B$6="Poor",('BMP Suitability 01'!S24*'BMP Removal Rates'!S$41)/100, IF('(STEP 1) Baseline Conditions'!$B$6="Average", ('BMP Suitability 01'!S24*'BMP Removal Rates'!S$42)/100, IF('(STEP 1) Baseline Conditions'!$B$6="Best",('BMP Suitability 01'!S24*'BMP Removal Rates'!S$38)/100)))</f>
        <v>0</v>
      </c>
      <c r="T24" s="110">
        <f>IF('(STEP 1) Baseline Conditions'!$B$6="Poor",('BMP Suitability 01'!T24*'BMP Removal Rates'!T$41)/100, IF('(STEP 1) Baseline Conditions'!$B$6="Average", ('BMP Suitability 01'!T24*'BMP Removal Rates'!T$42)/100, IF('(STEP 1) Baseline Conditions'!$B$6="Best",('BMP Suitability 01'!T24*'BMP Removal Rates'!T$38)/100)))</f>
        <v>0.79749999999999999</v>
      </c>
      <c r="U24" s="110">
        <f>IF('(STEP 1) Baseline Conditions'!$B$6="Poor",('BMP Suitability 01'!U24*'BMP Removal Rates'!U$41)/100, IF('(STEP 1) Baseline Conditions'!$B$6="Average", ('BMP Suitability 01'!U24*'BMP Removal Rates'!U$42)/100, IF('(STEP 1) Baseline Conditions'!$B$6="Best",('BMP Suitability 01'!U24*'BMP Removal Rates'!U$38)/100)))</f>
        <v>0.52500000000000002</v>
      </c>
      <c r="V24" s="110">
        <f>IF('(STEP 1) Baseline Conditions'!$B$6="Poor",('BMP Suitability 01'!V24*'BMP Removal Rates'!V$41)/100, IF('(STEP 1) Baseline Conditions'!$B$6="Average", ('BMP Suitability 01'!V24*'BMP Removal Rates'!V$42)/100, IF('(STEP 1) Baseline Conditions'!$B$6="Best",('BMP Suitability 01'!V24*'BMP Removal Rates'!V$38)/100)))</f>
        <v>0.72750000000000004</v>
      </c>
      <c r="W24" s="110">
        <f>IF('(STEP 1) Baseline Conditions'!$B$6="Poor",('BMP Suitability 01'!W24*'BMP Removal Rates'!W$41)/100, IF('(STEP 1) Baseline Conditions'!$B$6="Average", ('BMP Suitability 01'!W24*'BMP Removal Rates'!W$42)/100, IF('(STEP 1) Baseline Conditions'!$B$6="Best",('BMP Suitability 01'!W24*'BMP Removal Rates'!W$38)/100)))</f>
        <v>0.755</v>
      </c>
      <c r="X24" s="110">
        <f>IF('(STEP 1) Baseline Conditions'!$B$6="Poor",('BMP Suitability 01'!X24*'BMP Removal Rates'!X$41)/100, IF('(STEP 1) Baseline Conditions'!$B$6="Average", ('BMP Suitability 01'!X24*'BMP Removal Rates'!X$42)/100, IF('(STEP 1) Baseline Conditions'!$B$6="Best",('BMP Suitability 01'!X24*'BMP Removal Rates'!X$38)/100)))</f>
        <v>0</v>
      </c>
      <c r="Y24" s="110">
        <f>IF('(STEP 1) Baseline Conditions'!$B$6="Poor",('BMP Suitability 01'!Y24*'BMP Removal Rates'!Y$41)/100, IF('(STEP 1) Baseline Conditions'!$B$6="Average", ('BMP Suitability 01'!Y24*'BMP Removal Rates'!Y$42)/100, IF('(STEP 1) Baseline Conditions'!$B$6="Best",('BMP Suitability 01'!Y24*'BMP Removal Rates'!Y$38)/100)))</f>
        <v>0</v>
      </c>
      <c r="Z24" s="110">
        <f>IF('(STEP 1) Baseline Conditions'!$B$6="Poor",('BMP Suitability 01'!Z24*'BMP Removal Rates'!Z$41)/100, IF('(STEP 1) Baseline Conditions'!$B$6="Average", ('BMP Suitability 01'!Z24*'BMP Removal Rates'!Z$42)/100, IF('(STEP 1) Baseline Conditions'!$B$6="Best",('BMP Suitability 01'!Z24*'BMP Removal Rates'!Z$38)/100)))</f>
        <v>0.75</v>
      </c>
      <c r="AA24" s="110">
        <f>IF('(STEP 1) Baseline Conditions'!$B$6="Poor",('BMP Suitability 01'!AA24*'BMP Removal Rates'!AA$41)/100, IF('(STEP 1) Baseline Conditions'!$B$6="Average", ('BMP Suitability 01'!AA24*'BMP Removal Rates'!AA$42)/100, IF('(STEP 1) Baseline Conditions'!$B$6="Best",('BMP Suitability 01'!AA24*'BMP Removal Rates'!AA$38)/100)))</f>
        <v>0.71750000000000003</v>
      </c>
      <c r="AB24" s="110">
        <f>IF('(STEP 1) Baseline Conditions'!$B$6="Poor",('BMP Suitability 01'!AB24*'BMP Removal Rates'!AB$41)/100, IF('(STEP 1) Baseline Conditions'!$B$6="Average", ('BMP Suitability 01'!AB24*'BMP Removal Rates'!AB$42)/100, IF('(STEP 1) Baseline Conditions'!$B$6="Best",('BMP Suitability 01'!AB24*'BMP Removal Rates'!AB$38)/100)))</f>
        <v>0</v>
      </c>
      <c r="AC24" s="110">
        <f>IF('(STEP 1) Baseline Conditions'!$B$6="Poor",('BMP Suitability 01'!AC24*'BMP Removal Rates'!AC$41)/100, IF('(STEP 1) Baseline Conditions'!$B$6="Average", ('BMP Suitability 01'!AC24*'BMP Removal Rates'!AC$42)/100, IF('(STEP 1) Baseline Conditions'!$B$6="Best",('BMP Suitability 01'!AC24*'BMP Removal Rates'!AC$38)/100)))</f>
        <v>0</v>
      </c>
    </row>
    <row r="25" spans="1:29" x14ac:dyDescent="0.25">
      <c r="A25" s="3" t="s">
        <v>40</v>
      </c>
      <c r="B25" s="45">
        <f>IF(INDEX('Dosskey Coefficients'!$N$2:$N$20,MATCH('(STEP 1) Baseline Conditions'!$B$14,'Dosskey Coefficients'!$K$2:$K$20,0),0)&lt;0,('BMP Suitability 01'!B25*'BMP Removal Rates'!$B$38)/100, 'BMP Suitability 01'!B25*'BMP Removal Rates'!$B$39/100)</f>
        <v>0</v>
      </c>
      <c r="C25" s="45">
        <f>IF(INDEX('Dosskey Coefficients'!$N$2:$N$20,MATCH('(STEP 1) Baseline Conditions'!$B$14,'Dosskey Coefficients'!$K$2:$K$20,0),0)&lt;0,('BMP Suitability 01'!C25*$C$38)/100, 'BMP Suitability 01'!C25*$C$39/100)</f>
        <v>0</v>
      </c>
      <c r="D25" s="45">
        <f>('BMP Suitability 01'!D25*'BMP Removal Rates'!$D$38)/100</f>
        <v>0.62</v>
      </c>
      <c r="E25" s="45">
        <f>('BMP Suitability 01'!E25*'BMP Removal Rates'!$E$38)/100</f>
        <v>0.38500000000000001</v>
      </c>
      <c r="F25" s="45">
        <f>('BMP Suitability 01'!F25*'BMP Removal Rates'!$F$38)/100</f>
        <v>0.4</v>
      </c>
      <c r="G25" s="45">
        <f>('BMP Suitability 01'!G25*'BMP Removal Rates'!$G$38)/100</f>
        <v>0.75</v>
      </c>
      <c r="H25" s="45">
        <f>('BMP Suitability 01'!H25*'BMP Removal Rates'!$H$38)/100</f>
        <v>0</v>
      </c>
      <c r="I25" s="45">
        <f>('BMP Suitability 01'!I25*'BMP Removal Rates'!$I$38)/100</f>
        <v>0</v>
      </c>
      <c r="J25" s="45">
        <f>('BMP Suitability 01'!J25*'BMP Removal Rates'!$J$38)/100</f>
        <v>0.9</v>
      </c>
      <c r="K25" s="45">
        <f>('BMP Suitability 01'!K25*'BMP Removal Rates'!$K$38)/100</f>
        <v>0.75</v>
      </c>
      <c r="L25" s="45">
        <f>('BMP Suitability 01'!L25*'BMP Removal Rates'!$L$38)/100</f>
        <v>0</v>
      </c>
      <c r="M25" s="45">
        <f>('BMP Suitability 01'!M25*'BMP Removal Rates'!$M$38)/100</f>
        <v>0</v>
      </c>
      <c r="N25" s="110">
        <f>IF('(STEP 1) Baseline Conditions'!$B$6="Poor",('BMP Suitability 01'!N25*'BMP Removal Rates'!N$41)/100, IF('(STEP 1) Baseline Conditions'!$B$6="Average", ('BMP Suitability 01'!N25*'BMP Removal Rates'!N$42)/100, IF('(STEP 1) Baseline Conditions'!$B$6="Best",('BMP Suitability 01'!N25*'BMP Removal Rates'!N$38)/100)))</f>
        <v>0</v>
      </c>
      <c r="O25" s="110">
        <f>IF('(STEP 1) Baseline Conditions'!$B$6="Poor",('BMP Suitability 01'!O25*'BMP Removal Rates'!O$41)/100, IF('(STEP 1) Baseline Conditions'!$B$6="Average", ('BMP Suitability 01'!O25*'BMP Removal Rates'!O$42)/100, IF('(STEP 1) Baseline Conditions'!$B$6="Best",('BMP Suitability 01'!O25*'BMP Removal Rates'!O$38)/100)))</f>
        <v>0</v>
      </c>
      <c r="P25" s="110">
        <f>IF('(STEP 1) Baseline Conditions'!$B$6="Poor",('BMP Suitability 01'!P25*'BMP Removal Rates'!P$41)/100, IF('(STEP 1) Baseline Conditions'!$B$6="Average", ('BMP Suitability 01'!P25*'BMP Removal Rates'!P$42)/100, IF('(STEP 1) Baseline Conditions'!$B$6="Best",('BMP Suitability 01'!P25*'BMP Removal Rates'!P$38)/100)))</f>
        <v>0</v>
      </c>
      <c r="Q25" s="110">
        <f>IF('(STEP 1) Baseline Conditions'!$B$6="Poor",('BMP Suitability 01'!Q25*'BMP Removal Rates'!Q$41)/100, IF('(STEP 1) Baseline Conditions'!$B$6="Average", ('BMP Suitability 01'!Q25*'BMP Removal Rates'!Q$42)/100, IF('(STEP 1) Baseline Conditions'!$B$6="Best",('BMP Suitability 01'!Q25*'BMP Removal Rates'!Q$38)/100)))</f>
        <v>0</v>
      </c>
      <c r="R25" s="110">
        <f>IF('(STEP 1) Baseline Conditions'!$B$6="Poor",('BMP Suitability 01'!R25*'BMP Removal Rates'!R$41)/100, IF('(STEP 1) Baseline Conditions'!$B$6="Average", ('BMP Suitability 01'!R25*'BMP Removal Rates'!R$42)/100, IF('(STEP 1) Baseline Conditions'!$B$6="Best",('BMP Suitability 01'!R25*'BMP Removal Rates'!R$38)/100)))</f>
        <v>0</v>
      </c>
      <c r="S25" s="110">
        <f>IF('(STEP 1) Baseline Conditions'!$B$6="Poor",('BMP Suitability 01'!S25*'BMP Removal Rates'!S$41)/100, IF('(STEP 1) Baseline Conditions'!$B$6="Average", ('BMP Suitability 01'!S25*'BMP Removal Rates'!S$42)/100, IF('(STEP 1) Baseline Conditions'!$B$6="Best",('BMP Suitability 01'!S25*'BMP Removal Rates'!S$38)/100)))</f>
        <v>0</v>
      </c>
      <c r="T25" s="110">
        <f>IF('(STEP 1) Baseline Conditions'!$B$6="Poor",('BMP Suitability 01'!T25*'BMP Removal Rates'!T$41)/100, IF('(STEP 1) Baseline Conditions'!$B$6="Average", ('BMP Suitability 01'!T25*'BMP Removal Rates'!T$42)/100, IF('(STEP 1) Baseline Conditions'!$B$6="Best",('BMP Suitability 01'!T25*'BMP Removal Rates'!T$38)/100)))</f>
        <v>0.79749999999999999</v>
      </c>
      <c r="U25" s="110">
        <f>IF('(STEP 1) Baseline Conditions'!$B$6="Poor",('BMP Suitability 01'!U25*'BMP Removal Rates'!U$41)/100, IF('(STEP 1) Baseline Conditions'!$B$6="Average", ('BMP Suitability 01'!U25*'BMP Removal Rates'!U$42)/100, IF('(STEP 1) Baseline Conditions'!$B$6="Best",('BMP Suitability 01'!U25*'BMP Removal Rates'!U$38)/100)))</f>
        <v>0.52500000000000002</v>
      </c>
      <c r="V25" s="110">
        <f>IF('(STEP 1) Baseline Conditions'!$B$6="Poor",('BMP Suitability 01'!V25*'BMP Removal Rates'!V$41)/100, IF('(STEP 1) Baseline Conditions'!$B$6="Average", ('BMP Suitability 01'!V25*'BMP Removal Rates'!V$42)/100, IF('(STEP 1) Baseline Conditions'!$B$6="Best",('BMP Suitability 01'!V25*'BMP Removal Rates'!V$38)/100)))</f>
        <v>0</v>
      </c>
      <c r="W25" s="110">
        <f>IF('(STEP 1) Baseline Conditions'!$B$6="Poor",('BMP Suitability 01'!W25*'BMP Removal Rates'!W$41)/100, IF('(STEP 1) Baseline Conditions'!$B$6="Average", ('BMP Suitability 01'!W25*'BMP Removal Rates'!W$42)/100, IF('(STEP 1) Baseline Conditions'!$B$6="Best",('BMP Suitability 01'!W25*'BMP Removal Rates'!W$38)/100)))</f>
        <v>0</v>
      </c>
      <c r="X25" s="110">
        <f>IF('(STEP 1) Baseline Conditions'!$B$6="Poor",('BMP Suitability 01'!X25*'BMP Removal Rates'!X$41)/100, IF('(STEP 1) Baseline Conditions'!$B$6="Average", ('BMP Suitability 01'!X25*'BMP Removal Rates'!X$42)/100, IF('(STEP 1) Baseline Conditions'!$B$6="Best",('BMP Suitability 01'!X25*'BMP Removal Rates'!X$38)/100)))</f>
        <v>0</v>
      </c>
      <c r="Y25" s="110">
        <f>IF('(STEP 1) Baseline Conditions'!$B$6="Poor",('BMP Suitability 01'!Y25*'BMP Removal Rates'!Y$41)/100, IF('(STEP 1) Baseline Conditions'!$B$6="Average", ('BMP Suitability 01'!Y25*'BMP Removal Rates'!Y$42)/100, IF('(STEP 1) Baseline Conditions'!$B$6="Best",('BMP Suitability 01'!Y25*'BMP Removal Rates'!Y$38)/100)))</f>
        <v>0</v>
      </c>
      <c r="Z25" s="110">
        <f>IF('(STEP 1) Baseline Conditions'!$B$6="Poor",('BMP Suitability 01'!Z25*'BMP Removal Rates'!Z$41)/100, IF('(STEP 1) Baseline Conditions'!$B$6="Average", ('BMP Suitability 01'!Z25*'BMP Removal Rates'!Z$42)/100, IF('(STEP 1) Baseline Conditions'!$B$6="Best",('BMP Suitability 01'!Z25*'BMP Removal Rates'!Z$38)/100)))</f>
        <v>0</v>
      </c>
      <c r="AA25" s="110">
        <f>IF('(STEP 1) Baseline Conditions'!$B$6="Poor",('BMP Suitability 01'!AA25*'BMP Removal Rates'!AA$41)/100, IF('(STEP 1) Baseline Conditions'!$B$6="Average", ('BMP Suitability 01'!AA25*'BMP Removal Rates'!AA$42)/100, IF('(STEP 1) Baseline Conditions'!$B$6="Best",('BMP Suitability 01'!AA25*'BMP Removal Rates'!AA$38)/100)))</f>
        <v>0</v>
      </c>
      <c r="AB25" s="110">
        <f>IF('(STEP 1) Baseline Conditions'!$B$6="Poor",('BMP Suitability 01'!AB25*'BMP Removal Rates'!AB$41)/100, IF('(STEP 1) Baseline Conditions'!$B$6="Average", ('BMP Suitability 01'!AB25*'BMP Removal Rates'!AB$42)/100, IF('(STEP 1) Baseline Conditions'!$B$6="Best",('BMP Suitability 01'!AB25*'BMP Removal Rates'!AB$38)/100)))</f>
        <v>0.55437499999999995</v>
      </c>
      <c r="AC25" s="110">
        <f>IF('(STEP 1) Baseline Conditions'!$B$6="Poor",('BMP Suitability 01'!AC25*'BMP Removal Rates'!AC$41)/100, IF('(STEP 1) Baseline Conditions'!$B$6="Average", ('BMP Suitability 01'!AC25*'BMP Removal Rates'!AC$42)/100, IF('(STEP 1) Baseline Conditions'!$B$6="Best",('BMP Suitability 01'!AC25*'BMP Removal Rates'!AC$38)/100)))</f>
        <v>0</v>
      </c>
    </row>
    <row r="26" spans="1:29" x14ac:dyDescent="0.25">
      <c r="A26" s="3" t="s">
        <v>41</v>
      </c>
      <c r="B26" s="45">
        <f>IF(INDEX('Dosskey Coefficients'!$N$2:$N$20,MATCH('(STEP 1) Baseline Conditions'!$B$14,'Dosskey Coefficients'!$K$2:$K$20,0),0)&lt;0,('BMP Suitability 01'!B26*'BMP Removal Rates'!$B$38)/100, 'BMP Suitability 01'!B26*'BMP Removal Rates'!$B$39/100)</f>
        <v>0</v>
      </c>
      <c r="C26" s="45">
        <f>IF(INDEX('Dosskey Coefficients'!$N$2:$N$20,MATCH('(STEP 1) Baseline Conditions'!$B$14,'Dosskey Coefficients'!$K$2:$K$20,0),0)&lt;0,('BMP Suitability 01'!C26*$C$38)/100, 'BMP Suitability 01'!C26*$C$39/100)</f>
        <v>0</v>
      </c>
      <c r="D26" s="45">
        <f>('BMP Suitability 01'!D26*'BMP Removal Rates'!$D$38)/100</f>
        <v>0.62</v>
      </c>
      <c r="E26" s="45">
        <f>('BMP Suitability 01'!E26*'BMP Removal Rates'!$E$38)/100</f>
        <v>0.38500000000000001</v>
      </c>
      <c r="F26" s="45">
        <f>('BMP Suitability 01'!F26*'BMP Removal Rates'!$F$38)/100</f>
        <v>0.4</v>
      </c>
      <c r="G26" s="45">
        <f>('BMP Suitability 01'!G26*'BMP Removal Rates'!$G$38)/100</f>
        <v>0.75</v>
      </c>
      <c r="H26" s="45">
        <f>('BMP Suitability 01'!H26*'BMP Removal Rates'!$H$38)/100</f>
        <v>0.95</v>
      </c>
      <c r="I26" s="45">
        <f>('BMP Suitability 01'!I26*'BMP Removal Rates'!$I$38)/100</f>
        <v>0.85</v>
      </c>
      <c r="J26" s="45">
        <f>('BMP Suitability 01'!J26*'BMP Removal Rates'!$J$38)/100</f>
        <v>0.9</v>
      </c>
      <c r="K26" s="45">
        <f>('BMP Suitability 01'!K26*'BMP Removal Rates'!$K$38)/100</f>
        <v>0.75</v>
      </c>
      <c r="L26" s="45">
        <f>('BMP Suitability 01'!L26*'BMP Removal Rates'!$L$38)/100</f>
        <v>0</v>
      </c>
      <c r="M26" s="45">
        <f>('BMP Suitability 01'!M26*'BMP Removal Rates'!$M$38)/100</f>
        <v>0</v>
      </c>
      <c r="N26" s="110">
        <f>IF('(STEP 1) Baseline Conditions'!$B$6="Poor",('BMP Suitability 01'!N26*'BMP Removal Rates'!N$41)/100, IF('(STEP 1) Baseline Conditions'!$B$6="Average", ('BMP Suitability 01'!N26*'BMP Removal Rates'!N$42)/100, IF('(STEP 1) Baseline Conditions'!$B$6="Best",('BMP Suitability 01'!N26*'BMP Removal Rates'!N$38)/100)))</f>
        <v>0.82</v>
      </c>
      <c r="O26" s="110">
        <f>IF('(STEP 1) Baseline Conditions'!$B$6="Poor",('BMP Suitability 01'!O26*'BMP Removal Rates'!O$41)/100, IF('(STEP 1) Baseline Conditions'!$B$6="Average", ('BMP Suitability 01'!O26*'BMP Removal Rates'!O$42)/100, IF('(STEP 1) Baseline Conditions'!$B$6="Best",('BMP Suitability 01'!O26*'BMP Removal Rates'!O$38)/100)))</f>
        <v>0.21</v>
      </c>
      <c r="P26" s="110">
        <f>IF('(STEP 1) Baseline Conditions'!$B$6="Poor",('BMP Suitability 01'!P26*'BMP Removal Rates'!P$41)/100, IF('(STEP 1) Baseline Conditions'!$B$6="Average", ('BMP Suitability 01'!P26*'BMP Removal Rates'!P$42)/100, IF('(STEP 1) Baseline Conditions'!$B$6="Best",('BMP Suitability 01'!P26*'BMP Removal Rates'!P$38)/100)))</f>
        <v>0.83750000000000002</v>
      </c>
      <c r="Q26" s="110">
        <f>IF('(STEP 1) Baseline Conditions'!$B$6="Poor",('BMP Suitability 01'!Q26*'BMP Removal Rates'!Q$41)/100, IF('(STEP 1) Baseline Conditions'!$B$6="Average", ('BMP Suitability 01'!Q26*'BMP Removal Rates'!Q$42)/100, IF('(STEP 1) Baseline Conditions'!$B$6="Best",('BMP Suitability 01'!Q26*'BMP Removal Rates'!Q$38)/100)))</f>
        <v>0.73750000000000004</v>
      </c>
      <c r="R26" s="110">
        <f>IF('(STEP 1) Baseline Conditions'!$B$6="Poor",('BMP Suitability 01'!R26*'BMP Removal Rates'!R$41)/100, IF('(STEP 1) Baseline Conditions'!$B$6="Average", ('BMP Suitability 01'!R26*'BMP Removal Rates'!R$42)/100, IF('(STEP 1) Baseline Conditions'!$B$6="Best",('BMP Suitability 01'!R26*'BMP Removal Rates'!R$38)/100)))</f>
        <v>0</v>
      </c>
      <c r="S26" s="110">
        <f>IF('(STEP 1) Baseline Conditions'!$B$6="Poor",('BMP Suitability 01'!S26*'BMP Removal Rates'!S$41)/100, IF('(STEP 1) Baseline Conditions'!$B$6="Average", ('BMP Suitability 01'!S26*'BMP Removal Rates'!S$42)/100, IF('(STEP 1) Baseline Conditions'!$B$6="Best",('BMP Suitability 01'!S26*'BMP Removal Rates'!S$38)/100)))</f>
        <v>0</v>
      </c>
      <c r="T26" s="110">
        <f>IF('(STEP 1) Baseline Conditions'!$B$6="Poor",('BMP Suitability 01'!T26*'BMP Removal Rates'!T$41)/100, IF('(STEP 1) Baseline Conditions'!$B$6="Average", ('BMP Suitability 01'!T26*'BMP Removal Rates'!T$42)/100, IF('(STEP 1) Baseline Conditions'!$B$6="Best",('BMP Suitability 01'!T26*'BMP Removal Rates'!T$38)/100)))</f>
        <v>0.79749999999999999</v>
      </c>
      <c r="U26" s="110">
        <f>IF('(STEP 1) Baseline Conditions'!$B$6="Poor",('BMP Suitability 01'!U26*'BMP Removal Rates'!U$41)/100, IF('(STEP 1) Baseline Conditions'!$B$6="Average", ('BMP Suitability 01'!U26*'BMP Removal Rates'!U$42)/100, IF('(STEP 1) Baseline Conditions'!$B$6="Best",('BMP Suitability 01'!U26*'BMP Removal Rates'!U$38)/100)))</f>
        <v>0.52500000000000002</v>
      </c>
      <c r="V26" s="110">
        <f>IF('(STEP 1) Baseline Conditions'!$B$6="Poor",('BMP Suitability 01'!V26*'BMP Removal Rates'!V$41)/100, IF('(STEP 1) Baseline Conditions'!$B$6="Average", ('BMP Suitability 01'!V26*'BMP Removal Rates'!V$42)/100, IF('(STEP 1) Baseline Conditions'!$B$6="Best",('BMP Suitability 01'!V26*'BMP Removal Rates'!V$38)/100)))</f>
        <v>0.72750000000000004</v>
      </c>
      <c r="W26" s="110">
        <f>IF('(STEP 1) Baseline Conditions'!$B$6="Poor",('BMP Suitability 01'!W26*'BMP Removal Rates'!W$41)/100, IF('(STEP 1) Baseline Conditions'!$B$6="Average", ('BMP Suitability 01'!W26*'BMP Removal Rates'!W$42)/100, IF('(STEP 1) Baseline Conditions'!$B$6="Best",('BMP Suitability 01'!W26*'BMP Removal Rates'!W$38)/100)))</f>
        <v>0.755</v>
      </c>
      <c r="X26" s="110">
        <f>IF('(STEP 1) Baseline Conditions'!$B$6="Poor",('BMP Suitability 01'!X26*'BMP Removal Rates'!X$41)/100, IF('(STEP 1) Baseline Conditions'!$B$6="Average", ('BMP Suitability 01'!X26*'BMP Removal Rates'!X$42)/100, IF('(STEP 1) Baseline Conditions'!$B$6="Best",('BMP Suitability 01'!X26*'BMP Removal Rates'!X$38)/100)))</f>
        <v>0</v>
      </c>
      <c r="Y26" s="110">
        <f>IF('(STEP 1) Baseline Conditions'!$B$6="Poor",('BMP Suitability 01'!Y26*'BMP Removal Rates'!Y$41)/100, IF('(STEP 1) Baseline Conditions'!$B$6="Average", ('BMP Suitability 01'!Y26*'BMP Removal Rates'!Y$42)/100, IF('(STEP 1) Baseline Conditions'!$B$6="Best",('BMP Suitability 01'!Y26*'BMP Removal Rates'!Y$38)/100)))</f>
        <v>0</v>
      </c>
      <c r="Z26" s="110">
        <f>IF('(STEP 1) Baseline Conditions'!$B$6="Poor",('BMP Suitability 01'!Z26*'BMP Removal Rates'!Z$41)/100, IF('(STEP 1) Baseline Conditions'!$B$6="Average", ('BMP Suitability 01'!Z26*'BMP Removal Rates'!Z$42)/100, IF('(STEP 1) Baseline Conditions'!$B$6="Best",('BMP Suitability 01'!Z26*'BMP Removal Rates'!Z$38)/100)))</f>
        <v>0.75</v>
      </c>
      <c r="AA26" s="110">
        <f>IF('(STEP 1) Baseline Conditions'!$B$6="Poor",('BMP Suitability 01'!AA26*'BMP Removal Rates'!AA$41)/100, IF('(STEP 1) Baseline Conditions'!$B$6="Average", ('BMP Suitability 01'!AA26*'BMP Removal Rates'!AA$42)/100, IF('(STEP 1) Baseline Conditions'!$B$6="Best",('BMP Suitability 01'!AA26*'BMP Removal Rates'!AA$38)/100)))</f>
        <v>0.71750000000000003</v>
      </c>
      <c r="AB26" s="110">
        <f>IF('(STEP 1) Baseline Conditions'!$B$6="Poor",('BMP Suitability 01'!AB26*'BMP Removal Rates'!AB$41)/100, IF('(STEP 1) Baseline Conditions'!$B$6="Average", ('BMP Suitability 01'!AB26*'BMP Removal Rates'!AB$42)/100, IF('(STEP 1) Baseline Conditions'!$B$6="Best",('BMP Suitability 01'!AB26*'BMP Removal Rates'!AB$38)/100)))</f>
        <v>0</v>
      </c>
      <c r="AC26" s="110">
        <f>IF('(STEP 1) Baseline Conditions'!$B$6="Poor",('BMP Suitability 01'!AC26*'BMP Removal Rates'!AC$41)/100, IF('(STEP 1) Baseline Conditions'!$B$6="Average", ('BMP Suitability 01'!AC26*'BMP Removal Rates'!AC$42)/100, IF('(STEP 1) Baseline Conditions'!$B$6="Best",('BMP Suitability 01'!AC26*'BMP Removal Rates'!AC$38)/100)))</f>
        <v>0.62</v>
      </c>
    </row>
    <row r="27" spans="1:29" x14ac:dyDescent="0.25">
      <c r="A27" s="3" t="s">
        <v>42</v>
      </c>
      <c r="B27" s="45">
        <f>IF(INDEX('Dosskey Coefficients'!$N$2:$N$20,MATCH('(STEP 1) Baseline Conditions'!$B$14,'Dosskey Coefficients'!$K$2:$K$20,0),0)&lt;0,('BMP Suitability 01'!B27*'BMP Removal Rates'!$B$38)/100, 'BMP Suitability 01'!B27*'BMP Removal Rates'!$B$39/100)</f>
        <v>0</v>
      </c>
      <c r="C27" s="45">
        <f>IF(INDEX('Dosskey Coefficients'!$N$2:$N$20,MATCH('(STEP 1) Baseline Conditions'!$B$14,'Dosskey Coefficients'!$K$2:$K$20,0),0)&lt;0,('BMP Suitability 01'!C27*$C$38)/100, 'BMP Suitability 01'!C27*$C$39/100)</f>
        <v>0</v>
      </c>
      <c r="D27" s="45">
        <f>('BMP Suitability 01'!D27*'BMP Removal Rates'!$D$38)/100</f>
        <v>0.62</v>
      </c>
      <c r="E27" s="45">
        <f>('BMP Suitability 01'!E27*'BMP Removal Rates'!$E$38)/100</f>
        <v>0.38500000000000001</v>
      </c>
      <c r="F27" s="45">
        <f>('BMP Suitability 01'!F27*'BMP Removal Rates'!$F$38)/100</f>
        <v>0.4</v>
      </c>
      <c r="G27" s="45">
        <f>('BMP Suitability 01'!G27*'BMP Removal Rates'!$G$38)/100</f>
        <v>0.75</v>
      </c>
      <c r="H27" s="45">
        <f>('BMP Suitability 01'!H27*'BMP Removal Rates'!$H$38)/100</f>
        <v>0.95</v>
      </c>
      <c r="I27" s="45">
        <f>('BMP Suitability 01'!I27*'BMP Removal Rates'!$I$38)/100</f>
        <v>0.85</v>
      </c>
      <c r="J27" s="45">
        <f>('BMP Suitability 01'!J27*'BMP Removal Rates'!$J$38)/100</f>
        <v>0.9</v>
      </c>
      <c r="K27" s="45">
        <f>('BMP Suitability 01'!K27*'BMP Removal Rates'!$K$38)/100</f>
        <v>0.75</v>
      </c>
      <c r="L27" s="45">
        <f>('BMP Suitability 01'!L27*'BMP Removal Rates'!$L$38)/100</f>
        <v>0</v>
      </c>
      <c r="M27" s="45">
        <f>('BMP Suitability 01'!M27*'BMP Removal Rates'!$M$38)/100</f>
        <v>0</v>
      </c>
      <c r="N27" s="110">
        <f>IF('(STEP 1) Baseline Conditions'!$B$6="Poor",('BMP Suitability 01'!N27*'BMP Removal Rates'!N$41)/100, IF('(STEP 1) Baseline Conditions'!$B$6="Average", ('BMP Suitability 01'!N27*'BMP Removal Rates'!N$42)/100, IF('(STEP 1) Baseline Conditions'!$B$6="Best",('BMP Suitability 01'!N27*'BMP Removal Rates'!N$38)/100)))</f>
        <v>0.82</v>
      </c>
      <c r="O27" s="110">
        <f>IF('(STEP 1) Baseline Conditions'!$B$6="Poor",('BMP Suitability 01'!O27*'BMP Removal Rates'!O$41)/100, IF('(STEP 1) Baseline Conditions'!$B$6="Average", ('BMP Suitability 01'!O27*'BMP Removal Rates'!O$42)/100, IF('(STEP 1) Baseline Conditions'!$B$6="Best",('BMP Suitability 01'!O27*'BMP Removal Rates'!O$38)/100)))</f>
        <v>0.21</v>
      </c>
      <c r="P27" s="110">
        <f>IF('(STEP 1) Baseline Conditions'!$B$6="Poor",('BMP Suitability 01'!P27*'BMP Removal Rates'!P$41)/100, IF('(STEP 1) Baseline Conditions'!$B$6="Average", ('BMP Suitability 01'!P27*'BMP Removal Rates'!P$42)/100, IF('(STEP 1) Baseline Conditions'!$B$6="Best",('BMP Suitability 01'!P27*'BMP Removal Rates'!P$38)/100)))</f>
        <v>0</v>
      </c>
      <c r="Q27" s="110">
        <f>IF('(STEP 1) Baseline Conditions'!$B$6="Poor",('BMP Suitability 01'!Q27*'BMP Removal Rates'!Q$41)/100, IF('(STEP 1) Baseline Conditions'!$B$6="Average", ('BMP Suitability 01'!Q27*'BMP Removal Rates'!Q$42)/100, IF('(STEP 1) Baseline Conditions'!$B$6="Best",('BMP Suitability 01'!Q27*'BMP Removal Rates'!Q$38)/100)))</f>
        <v>0</v>
      </c>
      <c r="R27" s="110">
        <f>IF('(STEP 1) Baseline Conditions'!$B$6="Poor",('BMP Suitability 01'!R27*'BMP Removal Rates'!R$41)/100, IF('(STEP 1) Baseline Conditions'!$B$6="Average", ('BMP Suitability 01'!R27*'BMP Removal Rates'!R$42)/100, IF('(STEP 1) Baseline Conditions'!$B$6="Best",('BMP Suitability 01'!R27*'BMP Removal Rates'!R$38)/100)))</f>
        <v>0</v>
      </c>
      <c r="S27" s="110">
        <f>IF('(STEP 1) Baseline Conditions'!$B$6="Poor",('BMP Suitability 01'!S27*'BMP Removal Rates'!S$41)/100, IF('(STEP 1) Baseline Conditions'!$B$6="Average", ('BMP Suitability 01'!S27*'BMP Removal Rates'!S$42)/100, IF('(STEP 1) Baseline Conditions'!$B$6="Best",('BMP Suitability 01'!S27*'BMP Removal Rates'!S$38)/100)))</f>
        <v>0</v>
      </c>
      <c r="T27" s="110">
        <f>IF('(STEP 1) Baseline Conditions'!$B$6="Poor",('BMP Suitability 01'!T27*'BMP Removal Rates'!T$41)/100, IF('(STEP 1) Baseline Conditions'!$B$6="Average", ('BMP Suitability 01'!T27*'BMP Removal Rates'!T$42)/100, IF('(STEP 1) Baseline Conditions'!$B$6="Best",('BMP Suitability 01'!T27*'BMP Removal Rates'!T$38)/100)))</f>
        <v>0.79749999999999999</v>
      </c>
      <c r="U27" s="110">
        <f>IF('(STEP 1) Baseline Conditions'!$B$6="Poor",('BMP Suitability 01'!U27*'BMP Removal Rates'!U$41)/100, IF('(STEP 1) Baseline Conditions'!$B$6="Average", ('BMP Suitability 01'!U27*'BMP Removal Rates'!U$42)/100, IF('(STEP 1) Baseline Conditions'!$B$6="Best",('BMP Suitability 01'!U27*'BMP Removal Rates'!U$38)/100)))</f>
        <v>0.52500000000000002</v>
      </c>
      <c r="V27" s="110">
        <f>IF('(STEP 1) Baseline Conditions'!$B$6="Poor",('BMP Suitability 01'!V27*'BMP Removal Rates'!V$41)/100, IF('(STEP 1) Baseline Conditions'!$B$6="Average", ('BMP Suitability 01'!V27*'BMP Removal Rates'!V$42)/100, IF('(STEP 1) Baseline Conditions'!$B$6="Best",('BMP Suitability 01'!V27*'BMP Removal Rates'!V$38)/100)))</f>
        <v>0.72750000000000004</v>
      </c>
      <c r="W27" s="110">
        <f>IF('(STEP 1) Baseline Conditions'!$B$6="Poor",('BMP Suitability 01'!W27*'BMP Removal Rates'!W$41)/100, IF('(STEP 1) Baseline Conditions'!$B$6="Average", ('BMP Suitability 01'!W27*'BMP Removal Rates'!W$42)/100, IF('(STEP 1) Baseline Conditions'!$B$6="Best",('BMP Suitability 01'!W27*'BMP Removal Rates'!W$38)/100)))</f>
        <v>0.755</v>
      </c>
      <c r="X27" s="110">
        <f>IF('(STEP 1) Baseline Conditions'!$B$6="Poor",('BMP Suitability 01'!X27*'BMP Removal Rates'!X$41)/100, IF('(STEP 1) Baseline Conditions'!$B$6="Average", ('BMP Suitability 01'!X27*'BMP Removal Rates'!X$42)/100, IF('(STEP 1) Baseline Conditions'!$B$6="Best",('BMP Suitability 01'!X27*'BMP Removal Rates'!X$38)/100)))</f>
        <v>0</v>
      </c>
      <c r="Y27" s="110">
        <f>IF('(STEP 1) Baseline Conditions'!$B$6="Poor",('BMP Suitability 01'!Y27*'BMP Removal Rates'!Y$41)/100, IF('(STEP 1) Baseline Conditions'!$B$6="Average", ('BMP Suitability 01'!Y27*'BMP Removal Rates'!Y$42)/100, IF('(STEP 1) Baseline Conditions'!$B$6="Best",('BMP Suitability 01'!Y27*'BMP Removal Rates'!Y$38)/100)))</f>
        <v>0</v>
      </c>
      <c r="Z27" s="110">
        <f>IF('(STEP 1) Baseline Conditions'!$B$6="Poor",('BMP Suitability 01'!Z27*'BMP Removal Rates'!Z$41)/100, IF('(STEP 1) Baseline Conditions'!$B$6="Average", ('BMP Suitability 01'!Z27*'BMP Removal Rates'!Z$42)/100, IF('(STEP 1) Baseline Conditions'!$B$6="Best",('BMP Suitability 01'!Z27*'BMP Removal Rates'!Z$38)/100)))</f>
        <v>0</v>
      </c>
      <c r="AA27" s="110">
        <f>IF('(STEP 1) Baseline Conditions'!$B$6="Poor",('BMP Suitability 01'!AA27*'BMP Removal Rates'!AA$41)/100, IF('(STEP 1) Baseline Conditions'!$B$6="Average", ('BMP Suitability 01'!AA27*'BMP Removal Rates'!AA$42)/100, IF('(STEP 1) Baseline Conditions'!$B$6="Best",('BMP Suitability 01'!AA27*'BMP Removal Rates'!AA$38)/100)))</f>
        <v>0</v>
      </c>
      <c r="AB27" s="110">
        <f>IF('(STEP 1) Baseline Conditions'!$B$6="Poor",('BMP Suitability 01'!AB27*'BMP Removal Rates'!AB$41)/100, IF('(STEP 1) Baseline Conditions'!$B$6="Average", ('BMP Suitability 01'!AB27*'BMP Removal Rates'!AB$42)/100, IF('(STEP 1) Baseline Conditions'!$B$6="Best",('BMP Suitability 01'!AB27*'BMP Removal Rates'!AB$38)/100)))</f>
        <v>0</v>
      </c>
      <c r="AC27" s="110">
        <f>IF('(STEP 1) Baseline Conditions'!$B$6="Poor",('BMP Suitability 01'!AC27*'BMP Removal Rates'!AC$41)/100, IF('(STEP 1) Baseline Conditions'!$B$6="Average", ('BMP Suitability 01'!AC27*'BMP Removal Rates'!AC$42)/100, IF('(STEP 1) Baseline Conditions'!$B$6="Best",('BMP Suitability 01'!AC27*'BMP Removal Rates'!AC$38)/100)))</f>
        <v>0</v>
      </c>
    </row>
    <row r="28" spans="1:29" x14ac:dyDescent="0.25">
      <c r="A28" s="3" t="s">
        <v>93</v>
      </c>
      <c r="B28" s="45">
        <f>IF(INDEX('Dosskey Coefficients'!$N$2:$N$20,MATCH('(STEP 1) Baseline Conditions'!$B$14,'Dosskey Coefficients'!$K$2:$K$20,0),0)&lt;0,('BMP Suitability 01'!B28*'BMP Removal Rates'!$B$38)/100, 'BMP Suitability 01'!B28*'BMP Removal Rates'!$B$39/100)</f>
        <v>0</v>
      </c>
      <c r="C28" s="45">
        <f>IF(INDEX('Dosskey Coefficients'!$N$2:$N$20,MATCH('(STEP 1) Baseline Conditions'!$B$14,'Dosskey Coefficients'!$K$2:$K$20,0),0)&lt;0,('BMP Suitability 01'!C28*$C$38)/100, 'BMP Suitability 01'!C28*$C$39/100)</f>
        <v>0</v>
      </c>
      <c r="D28" s="45">
        <f>('BMP Suitability 01'!D28*'BMP Removal Rates'!$D$38)/100</f>
        <v>0.62</v>
      </c>
      <c r="E28" s="45">
        <f>('BMP Suitability 01'!E28*'BMP Removal Rates'!$E$38)/100</f>
        <v>0.38500000000000001</v>
      </c>
      <c r="F28" s="45">
        <f>('BMP Suitability 01'!F28*'BMP Removal Rates'!$F$38)/100</f>
        <v>0.4</v>
      </c>
      <c r="G28" s="45">
        <f>('BMP Suitability 01'!G28*'BMP Removal Rates'!$G$38)/100</f>
        <v>0.75</v>
      </c>
      <c r="H28" s="45">
        <f>('BMP Suitability 01'!H28*'BMP Removal Rates'!$H$38)/100</f>
        <v>0.95</v>
      </c>
      <c r="I28" s="45">
        <f>('BMP Suitability 01'!I28*'BMP Removal Rates'!$I$38)/100</f>
        <v>0.85</v>
      </c>
      <c r="J28" s="45">
        <f>('BMP Suitability 01'!J28*'BMP Removal Rates'!$J$38)/100</f>
        <v>0.9</v>
      </c>
      <c r="K28" s="45">
        <f>('BMP Suitability 01'!K28*'BMP Removal Rates'!$K$38)/100</f>
        <v>0.75</v>
      </c>
      <c r="L28" s="45">
        <f>('BMP Suitability 01'!L28*'BMP Removal Rates'!$L$38)/100</f>
        <v>0</v>
      </c>
      <c r="M28" s="45">
        <f>('BMP Suitability 01'!M28*'BMP Removal Rates'!$M$38)/100</f>
        <v>0</v>
      </c>
      <c r="N28" s="110">
        <f>IF('(STEP 1) Baseline Conditions'!$B$6="Poor",('BMP Suitability 01'!N28*'BMP Removal Rates'!N$41)/100, IF('(STEP 1) Baseline Conditions'!$B$6="Average", ('BMP Suitability 01'!N28*'BMP Removal Rates'!N$42)/100, IF('(STEP 1) Baseline Conditions'!$B$6="Best",('BMP Suitability 01'!N28*'BMP Removal Rates'!N$38)/100)))</f>
        <v>0</v>
      </c>
      <c r="O28" s="110">
        <f>IF('(STEP 1) Baseline Conditions'!$B$6="Poor",('BMP Suitability 01'!O28*'BMP Removal Rates'!O$41)/100, IF('(STEP 1) Baseline Conditions'!$B$6="Average", ('BMP Suitability 01'!O28*'BMP Removal Rates'!O$42)/100, IF('(STEP 1) Baseline Conditions'!$B$6="Best",('BMP Suitability 01'!O28*'BMP Removal Rates'!O$38)/100)))</f>
        <v>0</v>
      </c>
      <c r="P28" s="110">
        <f>IF('(STEP 1) Baseline Conditions'!$B$6="Poor",('BMP Suitability 01'!P28*'BMP Removal Rates'!P$41)/100, IF('(STEP 1) Baseline Conditions'!$B$6="Average", ('BMP Suitability 01'!P28*'BMP Removal Rates'!P$42)/100, IF('(STEP 1) Baseline Conditions'!$B$6="Best",('BMP Suitability 01'!P28*'BMP Removal Rates'!P$38)/100)))</f>
        <v>0</v>
      </c>
      <c r="Q28" s="110">
        <f>IF('(STEP 1) Baseline Conditions'!$B$6="Poor",('BMP Suitability 01'!Q28*'BMP Removal Rates'!Q$41)/100, IF('(STEP 1) Baseline Conditions'!$B$6="Average", ('BMP Suitability 01'!Q28*'BMP Removal Rates'!Q$42)/100, IF('(STEP 1) Baseline Conditions'!$B$6="Best",('BMP Suitability 01'!Q28*'BMP Removal Rates'!Q$38)/100)))</f>
        <v>0</v>
      </c>
      <c r="R28" s="110">
        <f>IF('(STEP 1) Baseline Conditions'!$B$6="Poor",('BMP Suitability 01'!R28*'BMP Removal Rates'!R$41)/100, IF('(STEP 1) Baseline Conditions'!$B$6="Average", ('BMP Suitability 01'!R28*'BMP Removal Rates'!R$42)/100, IF('(STEP 1) Baseline Conditions'!$B$6="Best",('BMP Suitability 01'!R28*'BMP Removal Rates'!R$38)/100)))</f>
        <v>0</v>
      </c>
      <c r="S28" s="110">
        <f>IF('(STEP 1) Baseline Conditions'!$B$6="Poor",('BMP Suitability 01'!S28*'BMP Removal Rates'!S$41)/100, IF('(STEP 1) Baseline Conditions'!$B$6="Average", ('BMP Suitability 01'!S28*'BMP Removal Rates'!S$42)/100, IF('(STEP 1) Baseline Conditions'!$B$6="Best",('BMP Suitability 01'!S28*'BMP Removal Rates'!S$38)/100)))</f>
        <v>0</v>
      </c>
      <c r="T28" s="110">
        <f>IF('(STEP 1) Baseline Conditions'!$B$6="Poor",('BMP Suitability 01'!T28*'BMP Removal Rates'!T$41)/100, IF('(STEP 1) Baseline Conditions'!$B$6="Average", ('BMP Suitability 01'!T28*'BMP Removal Rates'!T$42)/100, IF('(STEP 1) Baseline Conditions'!$B$6="Best",('BMP Suitability 01'!T28*'BMP Removal Rates'!T$38)/100)))</f>
        <v>0.79749999999999999</v>
      </c>
      <c r="U28" s="110">
        <f>IF('(STEP 1) Baseline Conditions'!$B$6="Poor",('BMP Suitability 01'!U28*'BMP Removal Rates'!U$41)/100, IF('(STEP 1) Baseline Conditions'!$B$6="Average", ('BMP Suitability 01'!U28*'BMP Removal Rates'!U$42)/100, IF('(STEP 1) Baseline Conditions'!$B$6="Best",('BMP Suitability 01'!U28*'BMP Removal Rates'!U$38)/100)))</f>
        <v>0.52500000000000002</v>
      </c>
      <c r="V28" s="110">
        <f>IF('(STEP 1) Baseline Conditions'!$B$6="Poor",('BMP Suitability 01'!V28*'BMP Removal Rates'!V$41)/100, IF('(STEP 1) Baseline Conditions'!$B$6="Average", ('BMP Suitability 01'!V28*'BMP Removal Rates'!V$42)/100, IF('(STEP 1) Baseline Conditions'!$B$6="Best",('BMP Suitability 01'!V28*'BMP Removal Rates'!V$38)/100)))</f>
        <v>0</v>
      </c>
      <c r="W28" s="110">
        <f>IF('(STEP 1) Baseline Conditions'!$B$6="Poor",('BMP Suitability 01'!W28*'BMP Removal Rates'!W$41)/100, IF('(STEP 1) Baseline Conditions'!$B$6="Average", ('BMP Suitability 01'!W28*'BMP Removal Rates'!W$42)/100, IF('(STEP 1) Baseline Conditions'!$B$6="Best",('BMP Suitability 01'!W28*'BMP Removal Rates'!W$38)/100)))</f>
        <v>0</v>
      </c>
      <c r="X28" s="110">
        <f>IF('(STEP 1) Baseline Conditions'!$B$6="Poor",('BMP Suitability 01'!X28*'BMP Removal Rates'!X$41)/100, IF('(STEP 1) Baseline Conditions'!$B$6="Average", ('BMP Suitability 01'!X28*'BMP Removal Rates'!X$42)/100, IF('(STEP 1) Baseline Conditions'!$B$6="Best",('BMP Suitability 01'!X28*'BMP Removal Rates'!X$38)/100)))</f>
        <v>0.85</v>
      </c>
      <c r="Y28" s="110">
        <f>IF('(STEP 1) Baseline Conditions'!$B$6="Poor",('BMP Suitability 01'!Y28*'BMP Removal Rates'!Y$41)/100, IF('(STEP 1) Baseline Conditions'!$B$6="Average", ('BMP Suitability 01'!Y28*'BMP Removal Rates'!Y$42)/100, IF('(STEP 1) Baseline Conditions'!$B$6="Best",('BMP Suitability 01'!Y28*'BMP Removal Rates'!Y$38)/100)))</f>
        <v>0.22</v>
      </c>
      <c r="Z28" s="110">
        <f>IF('(STEP 1) Baseline Conditions'!$B$6="Poor",('BMP Suitability 01'!Z28*'BMP Removal Rates'!Z$41)/100, IF('(STEP 1) Baseline Conditions'!$B$6="Average", ('BMP Suitability 01'!Z28*'BMP Removal Rates'!Z$42)/100, IF('(STEP 1) Baseline Conditions'!$B$6="Best",('BMP Suitability 01'!Z28*'BMP Removal Rates'!Z$38)/100)))</f>
        <v>0.75</v>
      </c>
      <c r="AA28" s="110">
        <f>IF('(STEP 1) Baseline Conditions'!$B$6="Poor",('BMP Suitability 01'!AA28*'BMP Removal Rates'!AA$41)/100, IF('(STEP 1) Baseline Conditions'!$B$6="Average", ('BMP Suitability 01'!AA28*'BMP Removal Rates'!AA$42)/100, IF('(STEP 1) Baseline Conditions'!$B$6="Best",('BMP Suitability 01'!AA28*'BMP Removal Rates'!AA$38)/100)))</f>
        <v>0.71750000000000003</v>
      </c>
      <c r="AB28" s="110">
        <f>IF('(STEP 1) Baseline Conditions'!$B$6="Poor",('BMP Suitability 01'!AB28*'BMP Removal Rates'!AB$41)/100, IF('(STEP 1) Baseline Conditions'!$B$6="Average", ('BMP Suitability 01'!AB28*'BMP Removal Rates'!AB$42)/100, IF('(STEP 1) Baseline Conditions'!$B$6="Best",('BMP Suitability 01'!AB28*'BMP Removal Rates'!AB$38)/100)))</f>
        <v>0.55437499999999995</v>
      </c>
      <c r="AC28" s="110">
        <f>IF('(STEP 1) Baseline Conditions'!$B$6="Poor",('BMP Suitability 01'!AC28*'BMP Removal Rates'!AC$41)/100, IF('(STEP 1) Baseline Conditions'!$B$6="Average", ('BMP Suitability 01'!AC28*'BMP Removal Rates'!AC$42)/100, IF('(STEP 1) Baseline Conditions'!$B$6="Best",('BMP Suitability 01'!AC28*'BMP Removal Rates'!AC$38)/100)))</f>
        <v>0.62</v>
      </c>
    </row>
    <row r="29" spans="1:29" x14ac:dyDescent="0.25">
      <c r="A29" s="3" t="s">
        <v>44</v>
      </c>
      <c r="B29" s="45">
        <f>IF(INDEX('Dosskey Coefficients'!$N$2:$N$20,MATCH('(STEP 1) Baseline Conditions'!$B$14,'Dosskey Coefficients'!$K$2:$K$20,0),0)&lt;0,('BMP Suitability 01'!B29*'BMP Removal Rates'!$B$38)/100, 'BMP Suitability 01'!B29*'BMP Removal Rates'!$B$39/100)</f>
        <v>0.87</v>
      </c>
      <c r="C29" s="45">
        <f>IF(INDEX('Dosskey Coefficients'!$N$2:$N$20,MATCH('(STEP 1) Baseline Conditions'!$B$14,'Dosskey Coefficients'!$K$2:$K$20,0),0)&lt;0,('BMP Suitability 01'!C29*$C$38)/100, 'BMP Suitability 01'!C29*$C$39/100)</f>
        <v>0.64500000000000002</v>
      </c>
      <c r="D29" s="45">
        <f>('BMP Suitability 01'!D29*'BMP Removal Rates'!$D$38)/100</f>
        <v>0.62</v>
      </c>
      <c r="E29" s="45">
        <f>('BMP Suitability 01'!E29*'BMP Removal Rates'!$E$38)/100</f>
        <v>0.38500000000000001</v>
      </c>
      <c r="F29" s="45">
        <f>('BMP Suitability 01'!F29*'BMP Removal Rates'!$F$38)/100</f>
        <v>0.4</v>
      </c>
      <c r="G29" s="45">
        <f>('BMP Suitability 01'!G29*'BMP Removal Rates'!$G$38)/100</f>
        <v>0.75</v>
      </c>
      <c r="H29" s="45">
        <f>('BMP Suitability 01'!H29*'BMP Removal Rates'!$H$38)/100</f>
        <v>0.95</v>
      </c>
      <c r="I29" s="45">
        <f>('BMP Suitability 01'!I29*'BMP Removal Rates'!$I$38)/100</f>
        <v>0.85</v>
      </c>
      <c r="J29" s="45">
        <f>('BMP Suitability 01'!J29*'BMP Removal Rates'!$J$38)/100</f>
        <v>0.9</v>
      </c>
      <c r="K29" s="45">
        <f>('BMP Suitability 01'!K29*'BMP Removal Rates'!$K$38)/100</f>
        <v>0.75</v>
      </c>
      <c r="L29" s="45">
        <f>('BMP Suitability 01'!L29*'BMP Removal Rates'!$L$38)/100</f>
        <v>0.69</v>
      </c>
      <c r="M29" s="45">
        <f>('BMP Suitability 01'!M29*'BMP Removal Rates'!$M$38)/100</f>
        <v>0.77500000000000002</v>
      </c>
      <c r="N29" s="110">
        <f>IF('(STEP 1) Baseline Conditions'!$B$6="Poor",('BMP Suitability 01'!N29*'BMP Removal Rates'!N$41)/100, IF('(STEP 1) Baseline Conditions'!$B$6="Average", ('BMP Suitability 01'!N29*'BMP Removal Rates'!N$42)/100, IF('(STEP 1) Baseline Conditions'!$B$6="Best",('BMP Suitability 01'!N29*'BMP Removal Rates'!N$38)/100)))</f>
        <v>0.82</v>
      </c>
      <c r="O29" s="110">
        <f>IF('(STEP 1) Baseline Conditions'!$B$6="Poor",('BMP Suitability 01'!O29*'BMP Removal Rates'!O$41)/100, IF('(STEP 1) Baseline Conditions'!$B$6="Average", ('BMP Suitability 01'!O29*'BMP Removal Rates'!O$42)/100, IF('(STEP 1) Baseline Conditions'!$B$6="Best",('BMP Suitability 01'!O29*'BMP Removal Rates'!O$38)/100)))</f>
        <v>0.21</v>
      </c>
      <c r="P29" s="110">
        <f>IF('(STEP 1) Baseline Conditions'!$B$6="Poor",('BMP Suitability 01'!P29*'BMP Removal Rates'!P$41)/100, IF('(STEP 1) Baseline Conditions'!$B$6="Average", ('BMP Suitability 01'!P29*'BMP Removal Rates'!P$42)/100, IF('(STEP 1) Baseline Conditions'!$B$6="Best",('BMP Suitability 01'!P29*'BMP Removal Rates'!P$38)/100)))</f>
        <v>0.83750000000000002</v>
      </c>
      <c r="Q29" s="110">
        <f>IF('(STEP 1) Baseline Conditions'!$B$6="Poor",('BMP Suitability 01'!Q29*'BMP Removal Rates'!Q$41)/100, IF('(STEP 1) Baseline Conditions'!$B$6="Average", ('BMP Suitability 01'!Q29*'BMP Removal Rates'!Q$42)/100, IF('(STEP 1) Baseline Conditions'!$B$6="Best",('BMP Suitability 01'!Q29*'BMP Removal Rates'!Q$38)/100)))</f>
        <v>0.73750000000000004</v>
      </c>
      <c r="R29" s="110">
        <f>IF('(STEP 1) Baseline Conditions'!$B$6="Poor",('BMP Suitability 01'!R29*'BMP Removal Rates'!R$41)/100, IF('(STEP 1) Baseline Conditions'!$B$6="Average", ('BMP Suitability 01'!R29*'BMP Removal Rates'!R$42)/100, IF('(STEP 1) Baseline Conditions'!$B$6="Best",('BMP Suitability 01'!R29*'BMP Removal Rates'!R$38)/100)))</f>
        <v>0</v>
      </c>
      <c r="S29" s="110">
        <f>IF('(STEP 1) Baseline Conditions'!$B$6="Poor",('BMP Suitability 01'!S29*'BMP Removal Rates'!S$41)/100, IF('(STEP 1) Baseline Conditions'!$B$6="Average", ('BMP Suitability 01'!S29*'BMP Removal Rates'!S$42)/100, IF('(STEP 1) Baseline Conditions'!$B$6="Best",('BMP Suitability 01'!S29*'BMP Removal Rates'!S$38)/100)))</f>
        <v>0</v>
      </c>
      <c r="T29" s="110">
        <f>IF('(STEP 1) Baseline Conditions'!$B$6="Poor",('BMP Suitability 01'!T29*'BMP Removal Rates'!T$41)/100, IF('(STEP 1) Baseline Conditions'!$B$6="Average", ('BMP Suitability 01'!T29*'BMP Removal Rates'!T$42)/100, IF('(STEP 1) Baseline Conditions'!$B$6="Best",('BMP Suitability 01'!T29*'BMP Removal Rates'!T$38)/100)))</f>
        <v>0.79749999999999999</v>
      </c>
      <c r="U29" s="110">
        <f>IF('(STEP 1) Baseline Conditions'!$B$6="Poor",('BMP Suitability 01'!U29*'BMP Removal Rates'!U$41)/100, IF('(STEP 1) Baseline Conditions'!$B$6="Average", ('BMP Suitability 01'!U29*'BMP Removal Rates'!U$42)/100, IF('(STEP 1) Baseline Conditions'!$B$6="Best",('BMP Suitability 01'!U29*'BMP Removal Rates'!U$38)/100)))</f>
        <v>0.52500000000000002</v>
      </c>
      <c r="V29" s="110">
        <f>IF('(STEP 1) Baseline Conditions'!$B$6="Poor",('BMP Suitability 01'!V29*'BMP Removal Rates'!V$41)/100, IF('(STEP 1) Baseline Conditions'!$B$6="Average", ('BMP Suitability 01'!V29*'BMP Removal Rates'!V$42)/100, IF('(STEP 1) Baseline Conditions'!$B$6="Best",('BMP Suitability 01'!V29*'BMP Removal Rates'!V$38)/100)))</f>
        <v>0.72750000000000004</v>
      </c>
      <c r="W29" s="110">
        <f>IF('(STEP 1) Baseline Conditions'!$B$6="Poor",('BMP Suitability 01'!W29*'BMP Removal Rates'!W$41)/100, IF('(STEP 1) Baseline Conditions'!$B$6="Average", ('BMP Suitability 01'!W29*'BMP Removal Rates'!W$42)/100, IF('(STEP 1) Baseline Conditions'!$B$6="Best",('BMP Suitability 01'!W29*'BMP Removal Rates'!W$38)/100)))</f>
        <v>0.755</v>
      </c>
      <c r="X29" s="110">
        <f>IF('(STEP 1) Baseline Conditions'!$B$6="Poor",('BMP Suitability 01'!X29*'BMP Removal Rates'!X$41)/100, IF('(STEP 1) Baseline Conditions'!$B$6="Average", ('BMP Suitability 01'!X29*'BMP Removal Rates'!X$42)/100, IF('(STEP 1) Baseline Conditions'!$B$6="Best",('BMP Suitability 01'!X29*'BMP Removal Rates'!X$38)/100)))</f>
        <v>0.85</v>
      </c>
      <c r="Y29" s="110">
        <f>IF('(STEP 1) Baseline Conditions'!$B$6="Poor",('BMP Suitability 01'!Y29*'BMP Removal Rates'!Y$41)/100, IF('(STEP 1) Baseline Conditions'!$B$6="Average", ('BMP Suitability 01'!Y29*'BMP Removal Rates'!Y$42)/100, IF('(STEP 1) Baseline Conditions'!$B$6="Best",('BMP Suitability 01'!Y29*'BMP Removal Rates'!Y$38)/100)))</f>
        <v>0.22</v>
      </c>
      <c r="Z29" s="110">
        <f>IF('(STEP 1) Baseline Conditions'!$B$6="Poor",('BMP Suitability 01'!Z29*'BMP Removal Rates'!Z$41)/100, IF('(STEP 1) Baseline Conditions'!$B$6="Average", ('BMP Suitability 01'!Z29*'BMP Removal Rates'!Z$42)/100, IF('(STEP 1) Baseline Conditions'!$B$6="Best",('BMP Suitability 01'!Z29*'BMP Removal Rates'!Z$38)/100)))</f>
        <v>0.75</v>
      </c>
      <c r="AA29" s="110">
        <f>IF('(STEP 1) Baseline Conditions'!$B$6="Poor",('BMP Suitability 01'!AA29*'BMP Removal Rates'!AA$41)/100, IF('(STEP 1) Baseline Conditions'!$B$6="Average", ('BMP Suitability 01'!AA29*'BMP Removal Rates'!AA$42)/100, IF('(STEP 1) Baseline Conditions'!$B$6="Best",('BMP Suitability 01'!AA29*'BMP Removal Rates'!AA$38)/100)))</f>
        <v>0.71750000000000003</v>
      </c>
      <c r="AB29" s="110">
        <f>IF('(STEP 1) Baseline Conditions'!$B$6="Poor",('BMP Suitability 01'!AB29*'BMP Removal Rates'!AB$41)/100, IF('(STEP 1) Baseline Conditions'!$B$6="Average", ('BMP Suitability 01'!AB29*'BMP Removal Rates'!AB$42)/100, IF('(STEP 1) Baseline Conditions'!$B$6="Best",('BMP Suitability 01'!AB29*'BMP Removal Rates'!AB$38)/100)))</f>
        <v>0</v>
      </c>
      <c r="AC29" s="110">
        <f>IF('(STEP 1) Baseline Conditions'!$B$6="Poor",('BMP Suitability 01'!AC29*'BMP Removal Rates'!AC$41)/100, IF('(STEP 1) Baseline Conditions'!$B$6="Average", ('BMP Suitability 01'!AC29*'BMP Removal Rates'!AC$42)/100, IF('(STEP 1) Baseline Conditions'!$B$6="Best",('BMP Suitability 01'!AC29*'BMP Removal Rates'!AC$38)/100)))</f>
        <v>0</v>
      </c>
    </row>
    <row r="30" spans="1:29" x14ac:dyDescent="0.25">
      <c r="A30" s="3" t="s">
        <v>80</v>
      </c>
      <c r="B30" s="45">
        <f>IF(INDEX('Dosskey Coefficients'!$N$2:$N$20,MATCH('(STEP 1) Baseline Conditions'!$B$14,'Dosskey Coefficients'!$K$2:$K$20,0),0)&lt;0,('BMP Suitability 01'!B30*'BMP Removal Rates'!$B$38)/100, 'BMP Suitability 01'!B30*'BMP Removal Rates'!$B$39/100)</f>
        <v>0</v>
      </c>
      <c r="C30" s="45">
        <f>IF(INDEX('Dosskey Coefficients'!$N$2:$N$20,MATCH('(STEP 1) Baseline Conditions'!$B$14,'Dosskey Coefficients'!$K$2:$K$20,0),0)&lt;0,('BMP Suitability 01'!C30*$C$38)/100, 'BMP Suitability 01'!C30*$C$39/100)</f>
        <v>0</v>
      </c>
      <c r="D30" s="45">
        <f>('BMP Suitability 01'!D30*'BMP Removal Rates'!$D$38)/100</f>
        <v>0.62</v>
      </c>
      <c r="E30" s="45">
        <f>('BMP Suitability 01'!E30*'BMP Removal Rates'!$E$38)/100</f>
        <v>0.38500000000000001</v>
      </c>
      <c r="F30" s="45">
        <f>('BMP Suitability 01'!F30*'BMP Removal Rates'!$F$38)/100</f>
        <v>0.4</v>
      </c>
      <c r="G30" s="45">
        <f>('BMP Suitability 01'!G30*'BMP Removal Rates'!$G$38)/100</f>
        <v>0.75</v>
      </c>
      <c r="H30" s="45">
        <f>('BMP Suitability 01'!H30*'BMP Removal Rates'!$H$38)/100</f>
        <v>0</v>
      </c>
      <c r="I30" s="45">
        <f>('BMP Suitability 01'!I30*'BMP Removal Rates'!$I$38)/100</f>
        <v>0</v>
      </c>
      <c r="J30" s="45">
        <f>('BMP Suitability 01'!J30*'BMP Removal Rates'!$J$38)/100</f>
        <v>0.9</v>
      </c>
      <c r="K30" s="45">
        <f>('BMP Suitability 01'!K30*'BMP Removal Rates'!$K$38)/100</f>
        <v>0.75</v>
      </c>
      <c r="L30" s="45">
        <f>('BMP Suitability 01'!L30*'BMP Removal Rates'!$L$38)/100</f>
        <v>0</v>
      </c>
      <c r="M30" s="45">
        <f>('BMP Suitability 01'!M30*'BMP Removal Rates'!$M$38)/100</f>
        <v>0</v>
      </c>
      <c r="N30" s="110">
        <f>IF('(STEP 1) Baseline Conditions'!$B$6="Poor",('BMP Suitability 01'!N30*'BMP Removal Rates'!N$41)/100, IF('(STEP 1) Baseline Conditions'!$B$6="Average", ('BMP Suitability 01'!N30*'BMP Removal Rates'!N$42)/100, IF('(STEP 1) Baseline Conditions'!$B$6="Best",('BMP Suitability 01'!N30*'BMP Removal Rates'!N$38)/100)))</f>
        <v>0</v>
      </c>
      <c r="O30" s="110">
        <f>IF('(STEP 1) Baseline Conditions'!$B$6="Poor",('BMP Suitability 01'!O30*'BMP Removal Rates'!O$41)/100, IF('(STEP 1) Baseline Conditions'!$B$6="Average", ('BMP Suitability 01'!O30*'BMP Removal Rates'!O$42)/100, IF('(STEP 1) Baseline Conditions'!$B$6="Best",('BMP Suitability 01'!O30*'BMP Removal Rates'!O$38)/100)))</f>
        <v>0</v>
      </c>
      <c r="P30" s="110">
        <f>IF('(STEP 1) Baseline Conditions'!$B$6="Poor",('BMP Suitability 01'!P30*'BMP Removal Rates'!P$41)/100, IF('(STEP 1) Baseline Conditions'!$B$6="Average", ('BMP Suitability 01'!P30*'BMP Removal Rates'!P$42)/100, IF('(STEP 1) Baseline Conditions'!$B$6="Best",('BMP Suitability 01'!P30*'BMP Removal Rates'!P$38)/100)))</f>
        <v>0</v>
      </c>
      <c r="Q30" s="110">
        <f>IF('(STEP 1) Baseline Conditions'!$B$6="Poor",('BMP Suitability 01'!Q30*'BMP Removal Rates'!Q$41)/100, IF('(STEP 1) Baseline Conditions'!$B$6="Average", ('BMP Suitability 01'!Q30*'BMP Removal Rates'!Q$42)/100, IF('(STEP 1) Baseline Conditions'!$B$6="Best",('BMP Suitability 01'!Q30*'BMP Removal Rates'!Q$38)/100)))</f>
        <v>0</v>
      </c>
      <c r="R30" s="110">
        <f>IF('(STEP 1) Baseline Conditions'!$B$6="Poor",('BMP Suitability 01'!R30*'BMP Removal Rates'!R$41)/100, IF('(STEP 1) Baseline Conditions'!$B$6="Average", ('BMP Suitability 01'!R30*'BMP Removal Rates'!R$42)/100, IF('(STEP 1) Baseline Conditions'!$B$6="Best",('BMP Suitability 01'!R30*'BMP Removal Rates'!R$38)/100)))</f>
        <v>0</v>
      </c>
      <c r="S30" s="110">
        <f>IF('(STEP 1) Baseline Conditions'!$B$6="Poor",('BMP Suitability 01'!S30*'BMP Removal Rates'!S$41)/100, IF('(STEP 1) Baseline Conditions'!$B$6="Average", ('BMP Suitability 01'!S30*'BMP Removal Rates'!S$42)/100, IF('(STEP 1) Baseline Conditions'!$B$6="Best",('BMP Suitability 01'!S30*'BMP Removal Rates'!S$38)/100)))</f>
        <v>0</v>
      </c>
      <c r="T30" s="110">
        <f>IF('(STEP 1) Baseline Conditions'!$B$6="Poor",('BMP Suitability 01'!T30*'BMP Removal Rates'!T$41)/100, IF('(STEP 1) Baseline Conditions'!$B$6="Average", ('BMP Suitability 01'!T30*'BMP Removal Rates'!T$42)/100, IF('(STEP 1) Baseline Conditions'!$B$6="Best",('BMP Suitability 01'!T30*'BMP Removal Rates'!T$38)/100)))</f>
        <v>0.79749999999999999</v>
      </c>
      <c r="U30" s="110">
        <f>IF('(STEP 1) Baseline Conditions'!$B$6="Poor",('BMP Suitability 01'!U30*'BMP Removal Rates'!U$41)/100, IF('(STEP 1) Baseline Conditions'!$B$6="Average", ('BMP Suitability 01'!U30*'BMP Removal Rates'!U$42)/100, IF('(STEP 1) Baseline Conditions'!$B$6="Best",('BMP Suitability 01'!U30*'BMP Removal Rates'!U$38)/100)))</f>
        <v>0.52500000000000002</v>
      </c>
      <c r="V30" s="110">
        <f>IF('(STEP 1) Baseline Conditions'!$B$6="Poor",('BMP Suitability 01'!V30*'BMP Removal Rates'!V$41)/100, IF('(STEP 1) Baseline Conditions'!$B$6="Average", ('BMP Suitability 01'!V30*'BMP Removal Rates'!V$42)/100, IF('(STEP 1) Baseline Conditions'!$B$6="Best",('BMP Suitability 01'!V30*'BMP Removal Rates'!V$38)/100)))</f>
        <v>0</v>
      </c>
      <c r="W30" s="110">
        <f>IF('(STEP 1) Baseline Conditions'!$B$6="Poor",('BMP Suitability 01'!W30*'BMP Removal Rates'!W$41)/100, IF('(STEP 1) Baseline Conditions'!$B$6="Average", ('BMP Suitability 01'!W30*'BMP Removal Rates'!W$42)/100, IF('(STEP 1) Baseline Conditions'!$B$6="Best",('BMP Suitability 01'!W30*'BMP Removal Rates'!W$38)/100)))</f>
        <v>0</v>
      </c>
      <c r="X30" s="110">
        <f>IF('(STEP 1) Baseline Conditions'!$B$6="Poor",('BMP Suitability 01'!X30*'BMP Removal Rates'!X$41)/100, IF('(STEP 1) Baseline Conditions'!$B$6="Average", ('BMP Suitability 01'!X30*'BMP Removal Rates'!X$42)/100, IF('(STEP 1) Baseline Conditions'!$B$6="Best",('BMP Suitability 01'!X30*'BMP Removal Rates'!X$38)/100)))</f>
        <v>0</v>
      </c>
      <c r="Y30" s="110">
        <f>IF('(STEP 1) Baseline Conditions'!$B$6="Poor",('BMP Suitability 01'!Y30*'BMP Removal Rates'!Y$41)/100, IF('(STEP 1) Baseline Conditions'!$B$6="Average", ('BMP Suitability 01'!Y30*'BMP Removal Rates'!Y$42)/100, IF('(STEP 1) Baseline Conditions'!$B$6="Best",('BMP Suitability 01'!Y30*'BMP Removal Rates'!Y$38)/100)))</f>
        <v>0</v>
      </c>
      <c r="Z30" s="110">
        <f>IF('(STEP 1) Baseline Conditions'!$B$6="Poor",('BMP Suitability 01'!Z30*'BMP Removal Rates'!Z$41)/100, IF('(STEP 1) Baseline Conditions'!$B$6="Average", ('BMP Suitability 01'!Z30*'BMP Removal Rates'!Z$42)/100, IF('(STEP 1) Baseline Conditions'!$B$6="Best",('BMP Suitability 01'!Z30*'BMP Removal Rates'!Z$38)/100)))</f>
        <v>0.75</v>
      </c>
      <c r="AA30" s="110">
        <f>IF('(STEP 1) Baseline Conditions'!$B$6="Poor",('BMP Suitability 01'!AA30*'BMP Removal Rates'!AA$41)/100, IF('(STEP 1) Baseline Conditions'!$B$6="Average", ('BMP Suitability 01'!AA30*'BMP Removal Rates'!AA$42)/100, IF('(STEP 1) Baseline Conditions'!$B$6="Best",('BMP Suitability 01'!AA30*'BMP Removal Rates'!AA$38)/100)))</f>
        <v>0.71750000000000003</v>
      </c>
      <c r="AB30" s="110">
        <f>IF('(STEP 1) Baseline Conditions'!$B$6="Poor",('BMP Suitability 01'!AB30*'BMP Removal Rates'!AB$41)/100, IF('(STEP 1) Baseline Conditions'!$B$6="Average", ('BMP Suitability 01'!AB30*'BMP Removal Rates'!AB$42)/100, IF('(STEP 1) Baseline Conditions'!$B$6="Best",('BMP Suitability 01'!AB30*'BMP Removal Rates'!AB$38)/100)))</f>
        <v>0.55437499999999995</v>
      </c>
      <c r="AC30" s="110">
        <f>IF('(STEP 1) Baseline Conditions'!$B$6="Poor",('BMP Suitability 01'!AC30*'BMP Removal Rates'!AC$41)/100, IF('(STEP 1) Baseline Conditions'!$B$6="Average", ('BMP Suitability 01'!AC30*'BMP Removal Rates'!AC$42)/100, IF('(STEP 1) Baseline Conditions'!$B$6="Best",('BMP Suitability 01'!AC30*'BMP Removal Rates'!AC$38)/100)))</f>
        <v>0.62</v>
      </c>
    </row>
    <row r="31" spans="1:29" x14ac:dyDescent="0.25">
      <c r="A31" s="3" t="s">
        <v>81</v>
      </c>
      <c r="B31" s="45">
        <f>IF(INDEX('Dosskey Coefficients'!$N$2:$N$20,MATCH('(STEP 1) Baseline Conditions'!$B$14,'Dosskey Coefficients'!$K$2:$K$20,0),0)&lt;0,('BMP Suitability 01'!B31*'BMP Removal Rates'!$B$38)/100, 'BMP Suitability 01'!B31*'BMP Removal Rates'!$B$39/100)</f>
        <v>0.87</v>
      </c>
      <c r="C31" s="45">
        <f>IF(INDEX('Dosskey Coefficients'!$N$2:$N$20,MATCH('(STEP 1) Baseline Conditions'!$B$14,'Dosskey Coefficients'!$K$2:$K$20,0),0)&lt;0,('BMP Suitability 01'!C31*$C$38)/100, 'BMP Suitability 01'!C31*$C$39/100)</f>
        <v>0.64500000000000002</v>
      </c>
      <c r="D31" s="45">
        <f>('BMP Suitability 01'!D31*'BMP Removal Rates'!$D$38)/100</f>
        <v>0.62</v>
      </c>
      <c r="E31" s="45">
        <f>('BMP Suitability 01'!E31*'BMP Removal Rates'!$E$38)/100</f>
        <v>0.38500000000000001</v>
      </c>
      <c r="F31" s="45">
        <f>('BMP Suitability 01'!F31*'BMP Removal Rates'!$F$38)/100</f>
        <v>0.4</v>
      </c>
      <c r="G31" s="45">
        <f>('BMP Suitability 01'!G31*'BMP Removal Rates'!$G$38)/100</f>
        <v>0.75</v>
      </c>
      <c r="H31" s="45">
        <f>('BMP Suitability 01'!H31*'BMP Removal Rates'!$H$38)/100</f>
        <v>0.95</v>
      </c>
      <c r="I31" s="45">
        <f>('BMP Suitability 01'!I31*'BMP Removal Rates'!$I$38)/100</f>
        <v>0.85</v>
      </c>
      <c r="J31" s="45">
        <f>('BMP Suitability 01'!J31*'BMP Removal Rates'!$J$38)/100</f>
        <v>0.9</v>
      </c>
      <c r="K31" s="45">
        <f>('BMP Suitability 01'!K31*'BMP Removal Rates'!$K$38)/100</f>
        <v>0.75</v>
      </c>
      <c r="L31" s="45">
        <f>('BMP Suitability 01'!L31*'BMP Removal Rates'!$L$38)/100</f>
        <v>0.69</v>
      </c>
      <c r="M31" s="45">
        <f>('BMP Suitability 01'!M31*'BMP Removal Rates'!$M$38)/100</f>
        <v>0.77500000000000002</v>
      </c>
      <c r="N31" s="110">
        <f>IF('(STEP 1) Baseline Conditions'!$B$6="Poor",('BMP Suitability 01'!N31*'BMP Removal Rates'!N$41)/100, IF('(STEP 1) Baseline Conditions'!$B$6="Average", ('BMP Suitability 01'!N31*'BMP Removal Rates'!N$42)/100, IF('(STEP 1) Baseline Conditions'!$B$6="Best",('BMP Suitability 01'!N31*'BMP Removal Rates'!N$38)/100)))</f>
        <v>0.82</v>
      </c>
      <c r="O31" s="110">
        <f>IF('(STEP 1) Baseline Conditions'!$B$6="Poor",('BMP Suitability 01'!O31*'BMP Removal Rates'!O$41)/100, IF('(STEP 1) Baseline Conditions'!$B$6="Average", ('BMP Suitability 01'!O31*'BMP Removal Rates'!O$42)/100, IF('(STEP 1) Baseline Conditions'!$B$6="Best",('BMP Suitability 01'!O31*'BMP Removal Rates'!O$38)/100)))</f>
        <v>0.21</v>
      </c>
      <c r="P31" s="110">
        <f>IF('(STEP 1) Baseline Conditions'!$B$6="Poor",('BMP Suitability 01'!P31*'BMP Removal Rates'!P$41)/100, IF('(STEP 1) Baseline Conditions'!$B$6="Average", ('BMP Suitability 01'!P31*'BMP Removal Rates'!P$42)/100, IF('(STEP 1) Baseline Conditions'!$B$6="Best",('BMP Suitability 01'!P31*'BMP Removal Rates'!P$38)/100)))</f>
        <v>0.83750000000000002</v>
      </c>
      <c r="Q31" s="110">
        <f>IF('(STEP 1) Baseline Conditions'!$B$6="Poor",('BMP Suitability 01'!Q31*'BMP Removal Rates'!Q$41)/100, IF('(STEP 1) Baseline Conditions'!$B$6="Average", ('BMP Suitability 01'!Q31*'BMP Removal Rates'!Q$42)/100, IF('(STEP 1) Baseline Conditions'!$B$6="Best",('BMP Suitability 01'!Q31*'BMP Removal Rates'!Q$38)/100)))</f>
        <v>0.73750000000000004</v>
      </c>
      <c r="R31" s="110">
        <f>IF('(STEP 1) Baseline Conditions'!$B$6="Poor",('BMP Suitability 01'!R31*'BMP Removal Rates'!R$41)/100, IF('(STEP 1) Baseline Conditions'!$B$6="Average", ('BMP Suitability 01'!R31*'BMP Removal Rates'!R$42)/100, IF('(STEP 1) Baseline Conditions'!$B$6="Best",('BMP Suitability 01'!R31*'BMP Removal Rates'!R$38)/100)))</f>
        <v>0</v>
      </c>
      <c r="S31" s="110">
        <f>IF('(STEP 1) Baseline Conditions'!$B$6="Poor",('BMP Suitability 01'!S31*'BMP Removal Rates'!S$41)/100, IF('(STEP 1) Baseline Conditions'!$B$6="Average", ('BMP Suitability 01'!S31*'BMP Removal Rates'!S$42)/100, IF('(STEP 1) Baseline Conditions'!$B$6="Best",('BMP Suitability 01'!S31*'BMP Removal Rates'!S$38)/100)))</f>
        <v>0</v>
      </c>
      <c r="T31" s="110">
        <f>IF('(STEP 1) Baseline Conditions'!$B$6="Poor",('BMP Suitability 01'!T31*'BMP Removal Rates'!T$41)/100, IF('(STEP 1) Baseline Conditions'!$B$6="Average", ('BMP Suitability 01'!T31*'BMP Removal Rates'!T$42)/100, IF('(STEP 1) Baseline Conditions'!$B$6="Best",('BMP Suitability 01'!T31*'BMP Removal Rates'!T$38)/100)))</f>
        <v>0.79749999999999999</v>
      </c>
      <c r="U31" s="110">
        <f>IF('(STEP 1) Baseline Conditions'!$B$6="Poor",('BMP Suitability 01'!U31*'BMP Removal Rates'!U$41)/100, IF('(STEP 1) Baseline Conditions'!$B$6="Average", ('BMP Suitability 01'!U31*'BMP Removal Rates'!U$42)/100, IF('(STEP 1) Baseline Conditions'!$B$6="Best",('BMP Suitability 01'!U31*'BMP Removal Rates'!U$38)/100)))</f>
        <v>0.52500000000000002</v>
      </c>
      <c r="V31" s="110">
        <f>IF('(STEP 1) Baseline Conditions'!$B$6="Poor",('BMP Suitability 01'!V31*'BMP Removal Rates'!V$41)/100, IF('(STEP 1) Baseline Conditions'!$B$6="Average", ('BMP Suitability 01'!V31*'BMP Removal Rates'!V$42)/100, IF('(STEP 1) Baseline Conditions'!$B$6="Best",('BMP Suitability 01'!V31*'BMP Removal Rates'!V$38)/100)))</f>
        <v>0.72750000000000004</v>
      </c>
      <c r="W31" s="110">
        <f>IF('(STEP 1) Baseline Conditions'!$B$6="Poor",('BMP Suitability 01'!W31*'BMP Removal Rates'!W$41)/100, IF('(STEP 1) Baseline Conditions'!$B$6="Average", ('BMP Suitability 01'!W31*'BMP Removal Rates'!W$42)/100, IF('(STEP 1) Baseline Conditions'!$B$6="Best",('BMP Suitability 01'!W31*'BMP Removal Rates'!W$38)/100)))</f>
        <v>0.755</v>
      </c>
      <c r="X31" s="110">
        <f>IF('(STEP 1) Baseline Conditions'!$B$6="Poor",('BMP Suitability 01'!X31*'BMP Removal Rates'!X$41)/100, IF('(STEP 1) Baseline Conditions'!$B$6="Average", ('BMP Suitability 01'!X31*'BMP Removal Rates'!X$42)/100, IF('(STEP 1) Baseline Conditions'!$B$6="Best",('BMP Suitability 01'!X31*'BMP Removal Rates'!X$38)/100)))</f>
        <v>0.85</v>
      </c>
      <c r="Y31" s="110">
        <f>IF('(STEP 1) Baseline Conditions'!$B$6="Poor",('BMP Suitability 01'!Y31*'BMP Removal Rates'!Y$41)/100, IF('(STEP 1) Baseline Conditions'!$B$6="Average", ('BMP Suitability 01'!Y31*'BMP Removal Rates'!Y$42)/100, IF('(STEP 1) Baseline Conditions'!$B$6="Best",('BMP Suitability 01'!Y31*'BMP Removal Rates'!Y$38)/100)))</f>
        <v>0.22</v>
      </c>
      <c r="Z31" s="110">
        <f>IF('(STEP 1) Baseline Conditions'!$B$6="Poor",('BMP Suitability 01'!Z31*'BMP Removal Rates'!Z$41)/100, IF('(STEP 1) Baseline Conditions'!$B$6="Average", ('BMP Suitability 01'!Z31*'BMP Removal Rates'!Z$42)/100, IF('(STEP 1) Baseline Conditions'!$B$6="Best",('BMP Suitability 01'!Z31*'BMP Removal Rates'!Z$38)/100)))</f>
        <v>0.75</v>
      </c>
      <c r="AA31" s="110">
        <f>IF('(STEP 1) Baseline Conditions'!$B$6="Poor",('BMP Suitability 01'!AA31*'BMP Removal Rates'!AA$41)/100, IF('(STEP 1) Baseline Conditions'!$B$6="Average", ('BMP Suitability 01'!AA31*'BMP Removal Rates'!AA$42)/100, IF('(STEP 1) Baseline Conditions'!$B$6="Best",('BMP Suitability 01'!AA31*'BMP Removal Rates'!AA$38)/100)))</f>
        <v>0.71750000000000003</v>
      </c>
      <c r="AB31" s="110">
        <f>IF('(STEP 1) Baseline Conditions'!$B$6="Poor",('BMP Suitability 01'!AB31*'BMP Removal Rates'!AB$41)/100, IF('(STEP 1) Baseline Conditions'!$B$6="Average", ('BMP Suitability 01'!AB31*'BMP Removal Rates'!AB$42)/100, IF('(STEP 1) Baseline Conditions'!$B$6="Best",('BMP Suitability 01'!AB31*'BMP Removal Rates'!AB$38)/100)))</f>
        <v>0.55437499999999995</v>
      </c>
      <c r="AC31" s="110">
        <f>IF('(STEP 1) Baseline Conditions'!$B$6="Poor",('BMP Suitability 01'!AC31*'BMP Removal Rates'!AC$41)/100, IF('(STEP 1) Baseline Conditions'!$B$6="Average", ('BMP Suitability 01'!AC31*'BMP Removal Rates'!AC$42)/100, IF('(STEP 1) Baseline Conditions'!$B$6="Best",('BMP Suitability 01'!AC31*'BMP Removal Rates'!AC$38)/100)))</f>
        <v>0.62</v>
      </c>
    </row>
    <row r="32" spans="1:29" x14ac:dyDescent="0.25">
      <c r="A32" s="3" t="s">
        <v>82</v>
      </c>
      <c r="B32" s="45">
        <f>IF(INDEX('Dosskey Coefficients'!$N$2:$N$20,MATCH('(STEP 1) Baseline Conditions'!$B$14,'Dosskey Coefficients'!$K$2:$K$20,0),0)&lt;0,('BMP Suitability 01'!B32*'BMP Removal Rates'!$B$38)/100, 'BMP Suitability 01'!B32*'BMP Removal Rates'!$B$39/100)</f>
        <v>0</v>
      </c>
      <c r="C32" s="45">
        <f>IF(INDEX('Dosskey Coefficients'!$N$2:$N$20,MATCH('(STEP 1) Baseline Conditions'!$B$14,'Dosskey Coefficients'!$K$2:$K$20,0),0)&lt;0,('BMP Suitability 01'!C32*$C$38)/100, 'BMP Suitability 01'!C32*$C$39/100)</f>
        <v>0</v>
      </c>
      <c r="D32" s="45">
        <f>('BMP Suitability 01'!D32*'BMP Removal Rates'!$D$38)/100</f>
        <v>0.62</v>
      </c>
      <c r="E32" s="45">
        <f>('BMP Suitability 01'!E32*'BMP Removal Rates'!$E$38)/100</f>
        <v>0.38500000000000001</v>
      </c>
      <c r="F32" s="45">
        <f>('BMP Suitability 01'!F32*'BMP Removal Rates'!$F$38)/100</f>
        <v>0.4</v>
      </c>
      <c r="G32" s="45">
        <f>('BMP Suitability 01'!G32*'BMP Removal Rates'!$G$38)/100</f>
        <v>0.75</v>
      </c>
      <c r="H32" s="45">
        <f>('BMP Suitability 01'!H32*'BMP Removal Rates'!$H$38)/100</f>
        <v>0.95</v>
      </c>
      <c r="I32" s="45">
        <f>('BMP Suitability 01'!I32*'BMP Removal Rates'!$I$38)/100</f>
        <v>0.85</v>
      </c>
      <c r="J32" s="45">
        <f>('BMP Suitability 01'!J32*'BMP Removal Rates'!$J$38)/100</f>
        <v>0.9</v>
      </c>
      <c r="K32" s="45">
        <f>('BMP Suitability 01'!K32*'BMP Removal Rates'!$K$38)/100</f>
        <v>0.75</v>
      </c>
      <c r="L32" s="45">
        <f>('BMP Suitability 01'!L32*'BMP Removal Rates'!$L$38)/100</f>
        <v>0</v>
      </c>
      <c r="M32" s="45">
        <f>('BMP Suitability 01'!M32*'BMP Removal Rates'!$M$38)/100</f>
        <v>0</v>
      </c>
      <c r="N32" s="110">
        <f>IF('(STEP 1) Baseline Conditions'!$B$6="Poor",('BMP Suitability 01'!N32*'BMP Removal Rates'!N$41)/100, IF('(STEP 1) Baseline Conditions'!$B$6="Average", ('BMP Suitability 01'!N32*'BMP Removal Rates'!N$42)/100, IF('(STEP 1) Baseline Conditions'!$B$6="Best",('BMP Suitability 01'!N32*'BMP Removal Rates'!N$38)/100)))</f>
        <v>0.82</v>
      </c>
      <c r="O32" s="110">
        <f>IF('(STEP 1) Baseline Conditions'!$B$6="Poor",('BMP Suitability 01'!O32*'BMP Removal Rates'!O$41)/100, IF('(STEP 1) Baseline Conditions'!$B$6="Average", ('BMP Suitability 01'!O32*'BMP Removal Rates'!O$42)/100, IF('(STEP 1) Baseline Conditions'!$B$6="Best",('BMP Suitability 01'!O32*'BMP Removal Rates'!O$38)/100)))</f>
        <v>0.21</v>
      </c>
      <c r="P32" s="110">
        <f>IF('(STEP 1) Baseline Conditions'!$B$6="Poor",('BMP Suitability 01'!P32*'BMP Removal Rates'!P$41)/100, IF('(STEP 1) Baseline Conditions'!$B$6="Average", ('BMP Suitability 01'!P32*'BMP Removal Rates'!P$42)/100, IF('(STEP 1) Baseline Conditions'!$B$6="Best",('BMP Suitability 01'!P32*'BMP Removal Rates'!P$38)/100)))</f>
        <v>0</v>
      </c>
      <c r="Q32" s="110">
        <f>IF('(STEP 1) Baseline Conditions'!$B$6="Poor",('BMP Suitability 01'!Q32*'BMP Removal Rates'!Q$41)/100, IF('(STEP 1) Baseline Conditions'!$B$6="Average", ('BMP Suitability 01'!Q32*'BMP Removal Rates'!Q$42)/100, IF('(STEP 1) Baseline Conditions'!$B$6="Best",('BMP Suitability 01'!Q32*'BMP Removal Rates'!Q$38)/100)))</f>
        <v>0</v>
      </c>
      <c r="R32" s="110">
        <f>IF('(STEP 1) Baseline Conditions'!$B$6="Poor",('BMP Suitability 01'!R32*'BMP Removal Rates'!R$41)/100, IF('(STEP 1) Baseline Conditions'!$B$6="Average", ('BMP Suitability 01'!R32*'BMP Removal Rates'!R$42)/100, IF('(STEP 1) Baseline Conditions'!$B$6="Best",('BMP Suitability 01'!R32*'BMP Removal Rates'!R$38)/100)))</f>
        <v>0</v>
      </c>
      <c r="S32" s="110">
        <f>IF('(STEP 1) Baseline Conditions'!$B$6="Poor",('BMP Suitability 01'!S32*'BMP Removal Rates'!S$41)/100, IF('(STEP 1) Baseline Conditions'!$B$6="Average", ('BMP Suitability 01'!S32*'BMP Removal Rates'!S$42)/100, IF('(STEP 1) Baseline Conditions'!$B$6="Best",('BMP Suitability 01'!S32*'BMP Removal Rates'!S$38)/100)))</f>
        <v>0</v>
      </c>
      <c r="T32" s="110">
        <f>IF('(STEP 1) Baseline Conditions'!$B$6="Poor",('BMP Suitability 01'!T32*'BMP Removal Rates'!T$41)/100, IF('(STEP 1) Baseline Conditions'!$B$6="Average", ('BMP Suitability 01'!T32*'BMP Removal Rates'!T$42)/100, IF('(STEP 1) Baseline Conditions'!$B$6="Best",('BMP Suitability 01'!T32*'BMP Removal Rates'!T$38)/100)))</f>
        <v>0.79749999999999999</v>
      </c>
      <c r="U32" s="110">
        <f>IF('(STEP 1) Baseline Conditions'!$B$6="Poor",('BMP Suitability 01'!U32*'BMP Removal Rates'!U$41)/100, IF('(STEP 1) Baseline Conditions'!$B$6="Average", ('BMP Suitability 01'!U32*'BMP Removal Rates'!U$42)/100, IF('(STEP 1) Baseline Conditions'!$B$6="Best",('BMP Suitability 01'!U32*'BMP Removal Rates'!U$38)/100)))</f>
        <v>0.52500000000000002</v>
      </c>
      <c r="V32" s="110">
        <f>IF('(STEP 1) Baseline Conditions'!$B$6="Poor",('BMP Suitability 01'!V32*'BMP Removal Rates'!V$41)/100, IF('(STEP 1) Baseline Conditions'!$B$6="Average", ('BMP Suitability 01'!V32*'BMP Removal Rates'!V$42)/100, IF('(STEP 1) Baseline Conditions'!$B$6="Best",('BMP Suitability 01'!V32*'BMP Removal Rates'!V$38)/100)))</f>
        <v>0.72750000000000004</v>
      </c>
      <c r="W32" s="110">
        <f>IF('(STEP 1) Baseline Conditions'!$B$6="Poor",('BMP Suitability 01'!W32*'BMP Removal Rates'!W$41)/100, IF('(STEP 1) Baseline Conditions'!$B$6="Average", ('BMP Suitability 01'!W32*'BMP Removal Rates'!W$42)/100, IF('(STEP 1) Baseline Conditions'!$B$6="Best",('BMP Suitability 01'!W32*'BMP Removal Rates'!W$38)/100)))</f>
        <v>0.755</v>
      </c>
      <c r="X32" s="110">
        <f>IF('(STEP 1) Baseline Conditions'!$B$6="Poor",('BMP Suitability 01'!X32*'BMP Removal Rates'!X$41)/100, IF('(STEP 1) Baseline Conditions'!$B$6="Average", ('BMP Suitability 01'!X32*'BMP Removal Rates'!X$42)/100, IF('(STEP 1) Baseline Conditions'!$B$6="Best",('BMP Suitability 01'!X32*'BMP Removal Rates'!X$38)/100)))</f>
        <v>0</v>
      </c>
      <c r="Y32" s="110">
        <f>IF('(STEP 1) Baseline Conditions'!$B$6="Poor",('BMP Suitability 01'!Y32*'BMP Removal Rates'!Y$41)/100, IF('(STEP 1) Baseline Conditions'!$B$6="Average", ('BMP Suitability 01'!Y32*'BMP Removal Rates'!Y$42)/100, IF('(STEP 1) Baseline Conditions'!$B$6="Best",('BMP Suitability 01'!Y32*'BMP Removal Rates'!Y$38)/100)))</f>
        <v>0</v>
      </c>
      <c r="Z32" s="110">
        <f>IF('(STEP 1) Baseline Conditions'!$B$6="Poor",('BMP Suitability 01'!Z32*'BMP Removal Rates'!Z$41)/100, IF('(STEP 1) Baseline Conditions'!$B$6="Average", ('BMP Suitability 01'!Z32*'BMP Removal Rates'!Z$42)/100, IF('(STEP 1) Baseline Conditions'!$B$6="Best",('BMP Suitability 01'!Z32*'BMP Removal Rates'!Z$38)/100)))</f>
        <v>0.75</v>
      </c>
      <c r="AA32" s="110">
        <f>IF('(STEP 1) Baseline Conditions'!$B$6="Poor",('BMP Suitability 01'!AA32*'BMP Removal Rates'!AA$41)/100, IF('(STEP 1) Baseline Conditions'!$B$6="Average", ('BMP Suitability 01'!AA32*'BMP Removal Rates'!AA$42)/100, IF('(STEP 1) Baseline Conditions'!$B$6="Best",('BMP Suitability 01'!AA32*'BMP Removal Rates'!AA$38)/100)))</f>
        <v>0.71750000000000003</v>
      </c>
      <c r="AB32" s="110">
        <f>IF('(STEP 1) Baseline Conditions'!$B$6="Poor",('BMP Suitability 01'!AB32*'BMP Removal Rates'!AB$41)/100, IF('(STEP 1) Baseline Conditions'!$B$6="Average", ('BMP Suitability 01'!AB32*'BMP Removal Rates'!AB$42)/100, IF('(STEP 1) Baseline Conditions'!$B$6="Best",('BMP Suitability 01'!AB32*'BMP Removal Rates'!AB$38)/100)))</f>
        <v>0</v>
      </c>
      <c r="AC32" s="110">
        <f>IF('(STEP 1) Baseline Conditions'!$B$6="Poor",('BMP Suitability 01'!AC32*'BMP Removal Rates'!AC$41)/100, IF('(STEP 1) Baseline Conditions'!$B$6="Average", ('BMP Suitability 01'!AC32*'BMP Removal Rates'!AC$42)/100, IF('(STEP 1) Baseline Conditions'!$B$6="Best",('BMP Suitability 01'!AC32*'BMP Removal Rates'!AC$38)/100)))</f>
        <v>0</v>
      </c>
    </row>
    <row r="35" spans="1:29" x14ac:dyDescent="0.25">
      <c r="A35" t="s">
        <v>157</v>
      </c>
      <c r="B35" t="s">
        <v>156</v>
      </c>
      <c r="C35" t="s">
        <v>160</v>
      </c>
      <c r="D35" t="s">
        <v>162</v>
      </c>
      <c r="E35" t="s">
        <v>376</v>
      </c>
      <c r="F35" t="s">
        <v>162</v>
      </c>
      <c r="G35" t="s">
        <v>377</v>
      </c>
      <c r="J35">
        <v>90</v>
      </c>
      <c r="K35">
        <v>0</v>
      </c>
      <c r="L35" t="s">
        <v>163</v>
      </c>
      <c r="M35" t="s">
        <v>164</v>
      </c>
      <c r="N35" t="s">
        <v>165</v>
      </c>
      <c r="O35" s="69" t="s">
        <v>378</v>
      </c>
      <c r="P35" t="s">
        <v>166</v>
      </c>
      <c r="Q35" t="s">
        <v>164</v>
      </c>
      <c r="T35" t="s">
        <v>167</v>
      </c>
      <c r="U35" t="s">
        <v>168</v>
      </c>
      <c r="V35" t="s">
        <v>169</v>
      </c>
      <c r="W35" t="s">
        <v>170</v>
      </c>
      <c r="X35">
        <v>85</v>
      </c>
      <c r="Y35" t="s">
        <v>301</v>
      </c>
      <c r="Z35">
        <v>75</v>
      </c>
      <c r="AA35" t="s">
        <v>171</v>
      </c>
      <c r="AB35" t="s">
        <v>302</v>
      </c>
    </row>
    <row r="36" spans="1:29" x14ac:dyDescent="0.25">
      <c r="A36" t="s">
        <v>158</v>
      </c>
      <c r="B36" t="s">
        <v>159</v>
      </c>
      <c r="C36" t="s">
        <v>161</v>
      </c>
    </row>
    <row r="37" spans="1:29" x14ac:dyDescent="0.25">
      <c r="J37" s="46"/>
    </row>
    <row r="38" spans="1:29" x14ac:dyDescent="0.25">
      <c r="A38" t="s">
        <v>285</v>
      </c>
      <c r="B38">
        <v>87</v>
      </c>
      <c r="C38">
        <v>64.5</v>
      </c>
      <c r="D38">
        <v>62</v>
      </c>
      <c r="E38">
        <v>38.5</v>
      </c>
      <c r="F38">
        <v>40</v>
      </c>
      <c r="G38">
        <v>75</v>
      </c>
      <c r="H38">
        <v>95</v>
      </c>
      <c r="I38">
        <v>85</v>
      </c>
      <c r="J38">
        <v>90</v>
      </c>
      <c r="K38">
        <v>75</v>
      </c>
      <c r="L38">
        <v>69</v>
      </c>
      <c r="M38">
        <v>77.5</v>
      </c>
      <c r="N38">
        <v>87</v>
      </c>
      <c r="O38">
        <v>34</v>
      </c>
      <c r="P38">
        <v>87.5</v>
      </c>
      <c r="Q38">
        <v>77.5</v>
      </c>
      <c r="T38">
        <v>83.5</v>
      </c>
      <c r="U38">
        <v>67</v>
      </c>
      <c r="V38">
        <v>81.5</v>
      </c>
      <c r="W38">
        <v>77</v>
      </c>
      <c r="X38">
        <v>85</v>
      </c>
      <c r="Y38">
        <v>42</v>
      </c>
      <c r="Z38">
        <v>75</v>
      </c>
      <c r="AA38">
        <v>72.5</v>
      </c>
      <c r="AB38">
        <v>64.375</v>
      </c>
      <c r="AC38">
        <v>62</v>
      </c>
    </row>
    <row r="39" spans="1:29" x14ac:dyDescent="0.25">
      <c r="A39" t="s">
        <v>303</v>
      </c>
      <c r="B39">
        <v>62</v>
      </c>
      <c r="C39">
        <v>35</v>
      </c>
    </row>
    <row r="41" spans="1:29" x14ac:dyDescent="0.25">
      <c r="A41" s="119" t="s">
        <v>360</v>
      </c>
      <c r="B41" s="119">
        <v>30</v>
      </c>
      <c r="C41" s="119">
        <v>20</v>
      </c>
      <c r="D41" s="119">
        <v>32</v>
      </c>
      <c r="E41" s="119">
        <v>13</v>
      </c>
      <c r="F41" s="119">
        <v>32</v>
      </c>
      <c r="G41" s="119">
        <v>60</v>
      </c>
      <c r="H41" s="119">
        <v>95</v>
      </c>
      <c r="I41" s="119">
        <v>85</v>
      </c>
      <c r="J41" s="119">
        <v>90</v>
      </c>
      <c r="K41" s="119">
        <v>75</v>
      </c>
      <c r="L41" s="119">
        <v>43</v>
      </c>
      <c r="M41" s="119">
        <v>70</v>
      </c>
      <c r="N41" s="119">
        <v>77</v>
      </c>
      <c r="O41" s="119">
        <v>8</v>
      </c>
      <c r="P41" s="119">
        <v>80</v>
      </c>
      <c r="Q41" s="119">
        <v>70</v>
      </c>
      <c r="R41" s="119"/>
      <c r="S41" s="119"/>
      <c r="T41" s="119">
        <v>76</v>
      </c>
      <c r="U41" s="119">
        <v>38</v>
      </c>
      <c r="V41" s="119">
        <v>64</v>
      </c>
      <c r="W41" s="119">
        <v>74</v>
      </c>
      <c r="X41" s="119">
        <v>85</v>
      </c>
      <c r="Y41" s="119">
        <v>2</v>
      </c>
      <c r="Z41" s="119">
        <v>75</v>
      </c>
      <c r="AA41" s="119">
        <v>71</v>
      </c>
      <c r="AB41" s="119">
        <v>46.5</v>
      </c>
      <c r="AC41" s="119">
        <v>62</v>
      </c>
    </row>
    <row r="42" spans="1:29" x14ac:dyDescent="0.25">
      <c r="A42" s="119" t="s">
        <v>361</v>
      </c>
      <c r="B42" s="119">
        <f>AVERAGE(B41,B38)</f>
        <v>58.5</v>
      </c>
      <c r="C42" s="119">
        <f t="shared" ref="C42:AC42" si="0">AVERAGE(C41,C38)</f>
        <v>42.25</v>
      </c>
      <c r="D42" s="119">
        <f t="shared" si="0"/>
        <v>47</v>
      </c>
      <c r="E42" s="119">
        <f t="shared" si="0"/>
        <v>25.75</v>
      </c>
      <c r="F42" s="119">
        <f t="shared" si="0"/>
        <v>36</v>
      </c>
      <c r="G42" s="119">
        <f t="shared" si="0"/>
        <v>67.5</v>
      </c>
      <c r="H42" s="119">
        <f t="shared" si="0"/>
        <v>95</v>
      </c>
      <c r="I42" s="119">
        <f t="shared" si="0"/>
        <v>85</v>
      </c>
      <c r="J42" s="119">
        <f t="shared" si="0"/>
        <v>90</v>
      </c>
      <c r="K42" s="119">
        <f t="shared" si="0"/>
        <v>75</v>
      </c>
      <c r="L42" s="119">
        <f t="shared" si="0"/>
        <v>56</v>
      </c>
      <c r="M42" s="119">
        <f t="shared" si="0"/>
        <v>73.75</v>
      </c>
      <c r="N42" s="119">
        <f t="shared" si="0"/>
        <v>82</v>
      </c>
      <c r="O42" s="119">
        <f t="shared" si="0"/>
        <v>21</v>
      </c>
      <c r="P42" s="119">
        <f t="shared" si="0"/>
        <v>83.75</v>
      </c>
      <c r="Q42" s="119">
        <f t="shared" si="0"/>
        <v>73.75</v>
      </c>
      <c r="R42" s="119"/>
      <c r="S42" s="119"/>
      <c r="T42" s="119">
        <f t="shared" si="0"/>
        <v>79.75</v>
      </c>
      <c r="U42" s="119">
        <f t="shared" si="0"/>
        <v>52.5</v>
      </c>
      <c r="V42" s="119">
        <f t="shared" si="0"/>
        <v>72.75</v>
      </c>
      <c r="W42" s="119">
        <f t="shared" si="0"/>
        <v>75.5</v>
      </c>
      <c r="X42" s="119">
        <f t="shared" si="0"/>
        <v>85</v>
      </c>
      <c r="Y42" s="119">
        <f t="shared" si="0"/>
        <v>22</v>
      </c>
      <c r="Z42" s="119">
        <f t="shared" si="0"/>
        <v>75</v>
      </c>
      <c r="AA42" s="119">
        <f t="shared" si="0"/>
        <v>71.75</v>
      </c>
      <c r="AB42" s="119">
        <f t="shared" si="0"/>
        <v>55.4375</v>
      </c>
      <c r="AC42" s="119">
        <f t="shared" si="0"/>
        <v>62</v>
      </c>
    </row>
    <row r="43" spans="1:29" x14ac:dyDescent="0.25">
      <c r="A43" s="119" t="s">
        <v>362</v>
      </c>
      <c r="B43" s="119">
        <f>B38</f>
        <v>87</v>
      </c>
      <c r="C43" s="119">
        <f t="shared" ref="C43:AC43" si="1">C38</f>
        <v>64.5</v>
      </c>
      <c r="D43" s="119">
        <f t="shared" si="1"/>
        <v>62</v>
      </c>
      <c r="E43" s="119">
        <f t="shared" si="1"/>
        <v>38.5</v>
      </c>
      <c r="F43" s="119">
        <f t="shared" si="1"/>
        <v>40</v>
      </c>
      <c r="G43" s="119">
        <f t="shared" si="1"/>
        <v>75</v>
      </c>
      <c r="H43" s="119">
        <f t="shared" si="1"/>
        <v>95</v>
      </c>
      <c r="I43" s="119">
        <f t="shared" si="1"/>
        <v>85</v>
      </c>
      <c r="J43" s="119">
        <f t="shared" si="1"/>
        <v>90</v>
      </c>
      <c r="K43" s="119">
        <f t="shared" si="1"/>
        <v>75</v>
      </c>
      <c r="L43" s="119">
        <f t="shared" si="1"/>
        <v>69</v>
      </c>
      <c r="M43" s="119">
        <f t="shared" si="1"/>
        <v>77.5</v>
      </c>
      <c r="N43" s="119">
        <f t="shared" si="1"/>
        <v>87</v>
      </c>
      <c r="O43" s="119">
        <f t="shared" si="1"/>
        <v>34</v>
      </c>
      <c r="P43" s="119">
        <f t="shared" si="1"/>
        <v>87.5</v>
      </c>
      <c r="Q43" s="119">
        <f t="shared" si="1"/>
        <v>77.5</v>
      </c>
      <c r="R43" s="119"/>
      <c r="S43" s="119"/>
      <c r="T43" s="119">
        <f t="shared" si="1"/>
        <v>83.5</v>
      </c>
      <c r="U43" s="119">
        <f t="shared" si="1"/>
        <v>67</v>
      </c>
      <c r="V43" s="119">
        <f t="shared" si="1"/>
        <v>81.5</v>
      </c>
      <c r="W43" s="119">
        <f t="shared" si="1"/>
        <v>77</v>
      </c>
      <c r="X43" s="119">
        <f t="shared" si="1"/>
        <v>85</v>
      </c>
      <c r="Y43" s="119">
        <f t="shared" si="1"/>
        <v>42</v>
      </c>
      <c r="Z43" s="119">
        <f t="shared" si="1"/>
        <v>75</v>
      </c>
      <c r="AA43" s="119">
        <f t="shared" si="1"/>
        <v>72.5</v>
      </c>
      <c r="AB43" s="119">
        <f t="shared" si="1"/>
        <v>64.375</v>
      </c>
      <c r="AC43" s="119">
        <f t="shared" si="1"/>
        <v>62</v>
      </c>
    </row>
  </sheetData>
  <sheetProtection selectLockedCells="1" selectUnlockedCells="1"/>
  <mergeCells count="14">
    <mergeCell ref="L1:M1"/>
    <mergeCell ref="B1:C1"/>
    <mergeCell ref="D1:E1"/>
    <mergeCell ref="F1:G1"/>
    <mergeCell ref="H1:I1"/>
    <mergeCell ref="J1:K1"/>
    <mergeCell ref="AB1:AC1"/>
    <mergeCell ref="X1:Y1"/>
    <mergeCell ref="Z1:AA1"/>
    <mergeCell ref="N1:O1"/>
    <mergeCell ref="P1:Q1"/>
    <mergeCell ref="R1:S1"/>
    <mergeCell ref="T1:U1"/>
    <mergeCell ref="V1:W1"/>
  </mergeCells>
  <pageMargins left="0.7" right="0.7" top="0.75" bottom="0.75" header="0.3" footer="0.3"/>
  <pageSetup orientation="portrait" verticalDpi="0" r:id="rId1"/>
  <ignoredErrors>
    <ignoredError sqref="D16" evalError="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tint="-0.89999084444715716"/>
  </sheetPr>
  <dimension ref="A1:T43"/>
  <sheetViews>
    <sheetView zoomScale="85" zoomScaleNormal="85" workbookViewId="0">
      <selection activeCell="F7" sqref="F7"/>
    </sheetView>
  </sheetViews>
  <sheetFormatPr defaultRowHeight="15" x14ac:dyDescent="0.25"/>
  <cols>
    <col min="2" max="2" width="19.7109375" bestFit="1" customWidth="1"/>
    <col min="3" max="3" width="20.5703125" bestFit="1" customWidth="1"/>
    <col min="5" max="5" width="37.28515625" bestFit="1" customWidth="1"/>
    <col min="8" max="8" width="40.7109375" bestFit="1" customWidth="1"/>
    <col min="11" max="11" width="16.28515625" bestFit="1" customWidth="1"/>
    <col min="12" max="12" width="4.85546875" customWidth="1"/>
    <col min="13" max="13" width="4.5703125" customWidth="1"/>
    <col min="14" max="14" width="10.140625" bestFit="1" customWidth="1"/>
    <col min="15" max="15" width="56.85546875" bestFit="1" customWidth="1"/>
    <col min="18" max="18" width="22.42578125" bestFit="1" customWidth="1"/>
    <col min="20" max="20" width="27.140625" bestFit="1" customWidth="1"/>
  </cols>
  <sheetData>
    <row r="1" spans="1:20" ht="18.75" x14ac:dyDescent="0.3">
      <c r="A1" t="s">
        <v>59</v>
      </c>
      <c r="B1" t="s">
        <v>231</v>
      </c>
      <c r="C1" t="s">
        <v>232</v>
      </c>
      <c r="E1" s="186" t="s">
        <v>261</v>
      </c>
      <c r="F1" s="186"/>
      <c r="H1" s="186" t="s">
        <v>258</v>
      </c>
      <c r="I1" s="186"/>
      <c r="K1" s="71" t="s">
        <v>236</v>
      </c>
      <c r="L1" s="71">
        <v>2</v>
      </c>
      <c r="M1" s="71">
        <v>10</v>
      </c>
      <c r="N1" s="71" t="s">
        <v>304</v>
      </c>
      <c r="O1" s="71" t="s">
        <v>229</v>
      </c>
      <c r="P1" s="71"/>
      <c r="Q1" s="71"/>
      <c r="R1" s="71" t="s">
        <v>270</v>
      </c>
      <c r="S1" s="71"/>
      <c r="T1" s="71" t="s">
        <v>306</v>
      </c>
    </row>
    <row r="2" spans="1:20" ht="18.75" x14ac:dyDescent="0.3">
      <c r="A2" s="56">
        <v>-21</v>
      </c>
      <c r="B2">
        <v>22.9239</v>
      </c>
      <c r="C2">
        <v>1.24E-2</v>
      </c>
      <c r="E2" t="s">
        <v>233</v>
      </c>
      <c r="F2">
        <f>INDEX('Buffer Trapping Line'!$F$2:$F$31, MATCH('(STEP 1) Baseline Conditions'!$B$5,'Buffer Trapping Line'!$A$2:$A$31,0),0)</f>
        <v>2</v>
      </c>
      <c r="H2" t="s">
        <v>233</v>
      </c>
      <c r="I2">
        <f>INDEX('Buffer Trapping Line'!$F$2:$F$31, MATCH('(STEP 1) Baseline Conditions'!$B$5,'Buffer Trapping Line'!$A$2:$A$31,0),0)</f>
        <v>2</v>
      </c>
      <c r="K2" s="71" t="s">
        <v>237</v>
      </c>
      <c r="L2" s="71">
        <v>0</v>
      </c>
      <c r="M2" s="71">
        <v>3</v>
      </c>
      <c r="N2" s="71">
        <v>-1</v>
      </c>
      <c r="O2" s="71" t="s">
        <v>395</v>
      </c>
      <c r="P2" s="71">
        <v>1</v>
      </c>
      <c r="Q2" s="71"/>
      <c r="R2" s="71" t="s">
        <v>271</v>
      </c>
      <c r="S2" s="71"/>
      <c r="T2" s="71">
        <f>IF('(STEP 1) Baseline Conditions'!$B$13="50' (Public Water)", 35,10)</f>
        <v>35</v>
      </c>
    </row>
    <row r="3" spans="1:20" ht="18.75" x14ac:dyDescent="0.3">
      <c r="A3" s="56">
        <v>-20</v>
      </c>
      <c r="B3" s="56">
        <v>22.9239</v>
      </c>
      <c r="C3" s="56">
        <v>1.24E-2</v>
      </c>
      <c r="E3" t="s">
        <v>234</v>
      </c>
      <c r="F3">
        <f>INDEX('Buffer Trapping Line'!$L$2:$L$31, MATCH('(STEP 1) Baseline Conditions'!$B$5,'Buffer Trapping Line'!$A$2:$A$31, 0),0)</f>
        <v>1</v>
      </c>
      <c r="H3" t="s">
        <v>234</v>
      </c>
      <c r="I3">
        <f>INDEX('Buffer Trapping Line'!$L$2:$L$31, MATCH('(STEP 1) Baseline Conditions'!$B$5,'Buffer Trapping Line'!$A$2:$A$31, 0),0)</f>
        <v>1</v>
      </c>
      <c r="K3" s="71" t="s">
        <v>238</v>
      </c>
      <c r="L3" s="71">
        <v>-1</v>
      </c>
      <c r="M3" s="71">
        <v>2</v>
      </c>
      <c r="N3" s="71">
        <v>-1</v>
      </c>
      <c r="O3" s="71" t="s">
        <v>396</v>
      </c>
      <c r="P3" s="71">
        <v>2</v>
      </c>
      <c r="Q3" s="71"/>
      <c r="R3" s="71" t="s">
        <v>272</v>
      </c>
      <c r="S3" s="71"/>
      <c r="T3" s="71">
        <f>IF('(STEP 1) Baseline Conditions'!$B$13="50' (Public Water)", 25,5)</f>
        <v>25</v>
      </c>
    </row>
    <row r="4" spans="1:20" ht="18.75" x14ac:dyDescent="0.3">
      <c r="A4" s="56">
        <v>-19</v>
      </c>
      <c r="B4" s="56">
        <v>22.9239</v>
      </c>
      <c r="C4" s="56">
        <v>1.24E-2</v>
      </c>
      <c r="E4" t="s">
        <v>235</v>
      </c>
      <c r="F4">
        <f>INDEX('Buffer Trapping Line'!$I$2:$I$31, MATCH('(STEP 1) Baseline Conditions'!$B$5,'Buffer Trapping Line'!$A$2:$A$32, 0),0)</f>
        <v>10</v>
      </c>
      <c r="H4" t="s">
        <v>235</v>
      </c>
      <c r="I4" s="56">
        <f>INDEX('Buffer Trapping Line'!$I$2:$I$31, MATCH('(STEP 1) Baseline Conditions'!$B$5,'Buffer Trapping Line'!$A$2:$A$32, 0),0)</f>
        <v>10</v>
      </c>
      <c r="K4" s="71" t="s">
        <v>239</v>
      </c>
      <c r="L4" s="71">
        <v>-2</v>
      </c>
      <c r="M4" s="71">
        <v>1</v>
      </c>
      <c r="N4" s="71">
        <v>-1</v>
      </c>
      <c r="O4" s="71" t="s">
        <v>397</v>
      </c>
      <c r="P4" s="71">
        <v>3</v>
      </c>
      <c r="Q4" s="71"/>
      <c r="R4" s="71"/>
      <c r="S4" s="71"/>
      <c r="T4" s="71">
        <f>IF('(STEP 1) Baseline Conditions'!$B$13="50' (Public Water)", 16.5,5)</f>
        <v>16.5</v>
      </c>
    </row>
    <row r="5" spans="1:20" ht="18.75" x14ac:dyDescent="0.3">
      <c r="A5" s="56">
        <v>-18</v>
      </c>
      <c r="B5" s="56">
        <v>22.9239</v>
      </c>
      <c r="C5" s="56">
        <v>1.24E-2</v>
      </c>
      <c r="E5" t="s">
        <v>54</v>
      </c>
      <c r="F5">
        <f>INDEX($L$2:$M$20, MATCH('(STEP 1) Baseline Conditions'!$B$14, 'Dosskey Coefficients'!$K$2:$K$20, 0), MATCH('Dosskey Coefficients'!$I$4, 'Dosskey Coefficients'!$L$1:$M$1, 0))</f>
        <v>3</v>
      </c>
      <c r="H5" t="s">
        <v>54</v>
      </c>
      <c r="I5">
        <f>INDEX($L$2:$M$20, MATCH('(STEP 1) Baseline Conditions'!$B$14, 'Dosskey Coefficients'!$K$2:$K$20, 0), MATCH('Dosskey Coefficients'!$I$4, 'Dosskey Coefficients'!$L$1:$M$1, 0))</f>
        <v>3</v>
      </c>
      <c r="K5" s="71" t="s">
        <v>240</v>
      </c>
      <c r="L5" s="71">
        <v>-3</v>
      </c>
      <c r="M5" s="71">
        <v>0</v>
      </c>
      <c r="N5" s="71">
        <v>-1</v>
      </c>
      <c r="O5" s="71"/>
      <c r="P5" s="71"/>
      <c r="Q5" s="71"/>
      <c r="R5" s="71"/>
      <c r="S5" s="71"/>
      <c r="T5" s="71"/>
    </row>
    <row r="6" spans="1:20" ht="18.75" x14ac:dyDescent="0.3">
      <c r="A6" s="56">
        <v>-17</v>
      </c>
      <c r="B6" s="56">
        <v>22.9239</v>
      </c>
      <c r="C6" s="56">
        <v>1.24E-2</v>
      </c>
      <c r="E6" t="s">
        <v>256</v>
      </c>
      <c r="F6">
        <f>INDEX('Buffer Trapping Line'!$M$2:$M$31, MATCH('(STEP 1) Baseline Conditions'!$B$5, 'Buffer Trapping Line'!$A$2:$A$31, 0), 0)</f>
        <v>3</v>
      </c>
      <c r="H6" t="s">
        <v>256</v>
      </c>
      <c r="I6">
        <f>INDEX('Buffer Trapping Line'!$M$2:$M$31, MATCH('(STEP 1) Baseline Conditions'!$B$5, 'Buffer Trapping Line'!$A$2:$A$31, 0), 0)</f>
        <v>3</v>
      </c>
      <c r="K6" s="71" t="s">
        <v>241</v>
      </c>
      <c r="L6" s="71">
        <v>-4</v>
      </c>
      <c r="M6" s="71">
        <v>0</v>
      </c>
      <c r="N6" s="71">
        <v>1</v>
      </c>
      <c r="O6" s="71"/>
      <c r="P6" s="71"/>
      <c r="Q6" s="71"/>
      <c r="R6" s="71"/>
      <c r="S6" s="71"/>
      <c r="T6" s="71"/>
    </row>
    <row r="7" spans="1:20" ht="18.75" x14ac:dyDescent="0.3">
      <c r="A7" s="56">
        <v>-16</v>
      </c>
      <c r="B7" s="56">
        <v>22.9239</v>
      </c>
      <c r="C7" s="56">
        <v>1.24E-2</v>
      </c>
      <c r="E7" t="s">
        <v>257</v>
      </c>
      <c r="F7">
        <f>F6-INDEX('Dosskey Coefficients'!$P$2:$P$4, MATCH('(STEP 1) Baseline Conditions'!$B$15, 'Dosskey Coefficients'!$O$2:$O$4,0), 0)</f>
        <v>1</v>
      </c>
      <c r="H7" t="s">
        <v>257</v>
      </c>
      <c r="I7">
        <f>I6-INDEX('Dosskey Coefficients'!$P$2:$P$4, MATCH('(STEP 1) Baseline Conditions'!$B$15, 'Dosskey Coefficients'!$O$2:$O$4,0), 0)</f>
        <v>1</v>
      </c>
      <c r="K7" s="71" t="s">
        <v>242</v>
      </c>
      <c r="L7" s="71">
        <v>-5</v>
      </c>
      <c r="M7" s="71">
        <v>-1</v>
      </c>
      <c r="N7" s="71">
        <v>2</v>
      </c>
      <c r="O7" s="71"/>
      <c r="P7" s="71"/>
      <c r="Q7" s="71"/>
      <c r="R7" s="71"/>
      <c r="S7" s="71"/>
      <c r="T7" s="71"/>
    </row>
    <row r="8" spans="1:20" ht="18.75" x14ac:dyDescent="0.3">
      <c r="A8" s="56">
        <v>-15</v>
      </c>
      <c r="B8" s="56">
        <v>22.9239</v>
      </c>
      <c r="C8" s="56">
        <v>1.24E-2</v>
      </c>
      <c r="E8" t="s">
        <v>259</v>
      </c>
      <c r="F8">
        <f>INDEX('Buffer Trapping Line'!$O$2:$O$31,MATCH('(STEP 1) Baseline Conditions'!$B$5,'Buffer Trapping Line'!$A$2:$A$31,0),0)</f>
        <v>3</v>
      </c>
      <c r="H8" t="s">
        <v>259</v>
      </c>
      <c r="I8">
        <f>INDEX('Buffer Trapping Line'!$O$2:$O$31,MATCH('(STEP 1) Baseline Conditions'!$B$5,'Buffer Trapping Line'!$A$2:$A$31,0),0)</f>
        <v>3</v>
      </c>
      <c r="K8" s="71" t="s">
        <v>243</v>
      </c>
      <c r="L8" s="71">
        <v>-6</v>
      </c>
      <c r="M8" s="71">
        <v>-2</v>
      </c>
      <c r="N8" s="71">
        <v>3</v>
      </c>
      <c r="O8" s="71"/>
      <c r="P8" s="71"/>
      <c r="Q8" s="71"/>
      <c r="R8" s="71"/>
      <c r="S8" s="71"/>
      <c r="T8" s="71"/>
    </row>
    <row r="9" spans="1:20" ht="19.5" thickBot="1" x14ac:dyDescent="0.35">
      <c r="A9" s="56">
        <v>-14</v>
      </c>
      <c r="B9" s="56">
        <v>22.9239</v>
      </c>
      <c r="C9" s="56">
        <v>1.24E-2</v>
      </c>
      <c r="E9" t="s">
        <v>260</v>
      </c>
      <c r="F9">
        <f>IF(F8=0,3,0)</f>
        <v>0</v>
      </c>
      <c r="H9" t="s">
        <v>260</v>
      </c>
      <c r="I9">
        <f>IF(I8=0, 2,-1)</f>
        <v>-1</v>
      </c>
      <c r="K9" s="71" t="s">
        <v>244</v>
      </c>
      <c r="L9" s="71">
        <v>-7</v>
      </c>
      <c r="M9" s="71">
        <v>-3</v>
      </c>
      <c r="N9" s="71">
        <v>4</v>
      </c>
      <c r="O9" s="71"/>
      <c r="P9" s="71"/>
      <c r="Q9" s="71"/>
      <c r="R9" s="71"/>
      <c r="S9" s="71"/>
      <c r="T9" s="71"/>
    </row>
    <row r="10" spans="1:20" ht="19.5" thickBot="1" x14ac:dyDescent="0.35">
      <c r="A10" s="56">
        <v>-13</v>
      </c>
      <c r="B10" s="56">
        <v>22.9239</v>
      </c>
      <c r="C10" s="56">
        <v>1.24E-2</v>
      </c>
      <c r="E10" s="58" t="s">
        <v>262</v>
      </c>
      <c r="F10" s="59">
        <f>IF('(STEP 1) Baseline Conditions'!B6="Poor", (F2+F3+F5+F7+F9)-1, F2+F3+F5+F7+F9)</f>
        <v>7</v>
      </c>
      <c r="H10" s="58" t="s">
        <v>263</v>
      </c>
      <c r="I10" s="59">
        <f>IF('(STEP 1) Baseline Conditions'!B6="Poor", (I2+I3+I5+I7+I9)-1, I2+I3+I5+I7+I9)</f>
        <v>6</v>
      </c>
      <c r="K10" s="71" t="s">
        <v>245</v>
      </c>
      <c r="L10" s="71">
        <v>-8</v>
      </c>
      <c r="M10" s="71">
        <v>-4</v>
      </c>
      <c r="N10" s="71">
        <v>5</v>
      </c>
      <c r="O10" s="71"/>
      <c r="P10" s="71"/>
      <c r="Q10" s="71"/>
      <c r="R10" s="71"/>
      <c r="S10" s="71"/>
      <c r="T10" s="71"/>
    </row>
    <row r="11" spans="1:20" ht="18.75" x14ac:dyDescent="0.3">
      <c r="A11" s="56">
        <v>-12</v>
      </c>
      <c r="B11" s="56">
        <v>22.9239</v>
      </c>
      <c r="C11" s="56">
        <v>1.24E-2</v>
      </c>
      <c r="K11" s="71" t="s">
        <v>246</v>
      </c>
      <c r="L11" s="71">
        <v>-9</v>
      </c>
      <c r="M11" s="71">
        <v>-5</v>
      </c>
      <c r="N11" s="71">
        <v>6</v>
      </c>
      <c r="O11" s="71"/>
      <c r="P11" s="71"/>
      <c r="Q11" s="71"/>
      <c r="R11" s="71"/>
      <c r="S11" s="71"/>
      <c r="T11" s="71"/>
    </row>
    <row r="12" spans="1:20" ht="18.75" x14ac:dyDescent="0.3">
      <c r="A12" s="56">
        <v>-11</v>
      </c>
      <c r="B12" s="56">
        <v>22.9239</v>
      </c>
      <c r="C12" s="56">
        <v>1.24E-2</v>
      </c>
      <c r="E12" t="s">
        <v>266</v>
      </c>
      <c r="F12">
        <f xml:space="preserve"> (INDEX(B2:B43, MATCH($F$10,A2:A43,0),0))*(1-EXP(-(INDEX(C2:C43,MATCH($F$10,A2:A43,0),0))*5.03))</f>
        <v>100</v>
      </c>
      <c r="H12" t="s">
        <v>265</v>
      </c>
      <c r="I12">
        <f xml:space="preserve"> (INDEX(B2:B43, MATCH($I$10,A2:A43,0),0))*(1-EXP(-(INDEX(C2:C43,MATCH($I$10,A2:A43,0),0))*5.03))</f>
        <v>76.941562989445956</v>
      </c>
      <c r="K12" s="71" t="s">
        <v>247</v>
      </c>
      <c r="L12" s="71">
        <v>-10</v>
      </c>
      <c r="M12" s="71">
        <v>-6</v>
      </c>
      <c r="N12" s="71">
        <v>7</v>
      </c>
      <c r="O12" s="71"/>
      <c r="P12" s="71"/>
      <c r="Q12" s="71"/>
      <c r="R12" s="71"/>
      <c r="S12" s="71"/>
      <c r="T12" s="71"/>
    </row>
    <row r="13" spans="1:20" ht="18.75" x14ac:dyDescent="0.3">
      <c r="A13" s="56">
        <v>-10</v>
      </c>
      <c r="B13" s="56">
        <v>22.9239</v>
      </c>
      <c r="C13" s="56">
        <v>1.24E-2</v>
      </c>
      <c r="E13" t="s">
        <v>267</v>
      </c>
      <c r="F13">
        <f xml:space="preserve"> (INDEX($B$2:$B$43, MATCH($F$10,A2:A43,0),0))*(1-EXP(-(INDEX(C2:C43,MATCH($F$10,A2:A43,0),0))*15.24))</f>
        <v>100</v>
      </c>
      <c r="H13" t="s">
        <v>264</v>
      </c>
      <c r="I13">
        <f xml:space="preserve"> (INDEX($B$2:$B$43, MATCH($I$10,$A$2:$A$43,0),0))*(1-EXP(-(INDEX($C$2:$C$43,MATCH($I$10,$A$2:$A$43,0),0))*15.24))</f>
        <v>96.185319101688194</v>
      </c>
      <c r="K13" s="71" t="s">
        <v>248</v>
      </c>
      <c r="L13" s="71">
        <v>-11</v>
      </c>
      <c r="M13" s="71">
        <v>-7</v>
      </c>
      <c r="N13" s="71">
        <v>8</v>
      </c>
      <c r="O13" s="71"/>
      <c r="P13" s="71"/>
      <c r="Q13" s="71"/>
      <c r="R13" s="71"/>
      <c r="S13" s="71"/>
      <c r="T13" s="71"/>
    </row>
    <row r="14" spans="1:20" ht="18.75" x14ac:dyDescent="0.3">
      <c r="A14" s="56">
        <v>-9</v>
      </c>
      <c r="B14" s="56">
        <v>22.9239</v>
      </c>
      <c r="C14" s="56">
        <v>1.24E-2</v>
      </c>
      <c r="K14" s="71" t="s">
        <v>249</v>
      </c>
      <c r="L14" s="71">
        <v>-12</v>
      </c>
      <c r="M14" s="71">
        <v>-8</v>
      </c>
      <c r="N14" s="71">
        <v>9</v>
      </c>
      <c r="O14" s="71"/>
      <c r="P14" s="71"/>
      <c r="Q14" s="71"/>
      <c r="R14" s="71"/>
      <c r="S14" s="71"/>
      <c r="T14" s="71"/>
    </row>
    <row r="15" spans="1:20" ht="18.75" x14ac:dyDescent="0.3">
      <c r="A15" s="56">
        <v>-8</v>
      </c>
      <c r="B15" s="56">
        <v>22.9239</v>
      </c>
      <c r="C15" s="56">
        <v>1.24E-2</v>
      </c>
      <c r="E15" t="s">
        <v>309</v>
      </c>
      <c r="F15" s="56">
        <f xml:space="preserve"> (INDEX($B$2:$B$43, MATCH($F$10,$A$2:$A$43,0),0))*(1-EXP(-(INDEX($C$2:$C$43,MATCH($F$10,$A$2:$A$43,0),0))*0.305*'(STEP 2) Alternative BMP Choice'!E11))</f>
        <v>100</v>
      </c>
      <c r="H15" t="s">
        <v>308</v>
      </c>
      <c r="I15">
        <f xml:space="preserve"> (INDEX($B$2:$B$43, MATCH($I$10,$A$2:$A$43,0),0))*(1-EXP(-(INDEX($C$2:$C$43,MATCH($I$10,$A$2:$A$43,0),0))*(0.305*'(STEP 2) Alternative BMP Choice'!E11)))</f>
        <v>76.957270819177609</v>
      </c>
      <c r="K15" s="71" t="s">
        <v>250</v>
      </c>
      <c r="L15" s="71">
        <v>-13</v>
      </c>
      <c r="M15" s="71">
        <v>-9</v>
      </c>
      <c r="N15" s="71">
        <v>10</v>
      </c>
      <c r="O15" s="71"/>
      <c r="P15" s="71"/>
      <c r="Q15" s="71"/>
      <c r="R15" s="71"/>
      <c r="S15" s="71"/>
      <c r="T15" s="71"/>
    </row>
    <row r="16" spans="1:20" ht="18.75" x14ac:dyDescent="0.3">
      <c r="A16" s="56">
        <v>-7</v>
      </c>
      <c r="B16" s="56">
        <v>22.9239</v>
      </c>
      <c r="C16" s="56">
        <v>1.24E-2</v>
      </c>
      <c r="K16" s="71" t="s">
        <v>251</v>
      </c>
      <c r="L16" s="71">
        <v>-14</v>
      </c>
      <c r="M16" s="71">
        <v>-10</v>
      </c>
      <c r="N16" s="71">
        <v>11</v>
      </c>
      <c r="O16" s="71"/>
      <c r="P16" s="71"/>
      <c r="Q16" s="71"/>
      <c r="R16" s="71"/>
      <c r="S16" s="71"/>
      <c r="T16" s="71"/>
    </row>
    <row r="17" spans="1:20" ht="18.75" x14ac:dyDescent="0.3">
      <c r="A17" s="56">
        <v>-6</v>
      </c>
      <c r="B17" s="56">
        <v>22.9239</v>
      </c>
      <c r="C17" s="56">
        <v>1.24E-2</v>
      </c>
      <c r="K17" s="71" t="s">
        <v>252</v>
      </c>
      <c r="L17" s="71">
        <v>-15</v>
      </c>
      <c r="M17" s="71">
        <v>-11</v>
      </c>
      <c r="N17" s="71">
        <v>12</v>
      </c>
      <c r="O17" s="71"/>
      <c r="P17" s="71"/>
      <c r="Q17" s="71"/>
      <c r="R17" s="71"/>
      <c r="S17" s="71"/>
      <c r="T17" s="71"/>
    </row>
    <row r="18" spans="1:20" ht="18.75" x14ac:dyDescent="0.3">
      <c r="A18" s="56">
        <v>-5</v>
      </c>
      <c r="B18" s="56">
        <v>22.9239</v>
      </c>
      <c r="C18" s="56">
        <v>1.24E-2</v>
      </c>
      <c r="K18" s="71" t="s">
        <v>253</v>
      </c>
      <c r="L18" s="71">
        <v>-16</v>
      </c>
      <c r="M18" s="71">
        <v>-12</v>
      </c>
      <c r="N18" s="71">
        <v>13</v>
      </c>
      <c r="O18" s="71"/>
      <c r="P18" s="71"/>
      <c r="Q18" s="71"/>
      <c r="R18" s="71"/>
      <c r="S18" s="71"/>
      <c r="T18" s="71"/>
    </row>
    <row r="19" spans="1:20" ht="18.75" x14ac:dyDescent="0.3">
      <c r="A19" s="56">
        <v>-4</v>
      </c>
      <c r="B19" s="56">
        <v>22.9239</v>
      </c>
      <c r="C19" s="56">
        <v>1.24E-2</v>
      </c>
      <c r="K19" s="71" t="s">
        <v>254</v>
      </c>
      <c r="L19" s="71">
        <v>-17</v>
      </c>
      <c r="M19" s="71">
        <v>-13</v>
      </c>
      <c r="N19" s="71">
        <v>14</v>
      </c>
      <c r="O19" s="71"/>
      <c r="P19" s="71"/>
      <c r="Q19" s="71"/>
      <c r="R19" s="71"/>
      <c r="S19" s="71"/>
      <c r="T19" s="71"/>
    </row>
    <row r="20" spans="1:20" ht="18.75" x14ac:dyDescent="0.3">
      <c r="A20" s="56">
        <v>-3</v>
      </c>
      <c r="B20" s="56">
        <v>22.9239</v>
      </c>
      <c r="C20" s="56">
        <v>1.24E-2</v>
      </c>
      <c r="K20" s="71" t="s">
        <v>255</v>
      </c>
      <c r="L20" s="71">
        <v>-18</v>
      </c>
      <c r="M20" s="71">
        <v>-14</v>
      </c>
      <c r="N20" s="71">
        <v>15</v>
      </c>
      <c r="O20" s="71"/>
      <c r="P20" s="71"/>
      <c r="Q20" s="71"/>
      <c r="R20" s="71"/>
      <c r="S20" s="71"/>
      <c r="T20" s="71"/>
    </row>
    <row r="21" spans="1:20" x14ac:dyDescent="0.25">
      <c r="A21" s="56">
        <v>-2</v>
      </c>
      <c r="B21" s="56">
        <v>22.9239</v>
      </c>
      <c r="C21" s="56">
        <v>1.24E-2</v>
      </c>
    </row>
    <row r="22" spans="1:20" x14ac:dyDescent="0.25">
      <c r="A22">
        <v>-1</v>
      </c>
      <c r="B22">
        <v>22.9239</v>
      </c>
      <c r="C22">
        <v>1.24E-2</v>
      </c>
    </row>
    <row r="23" spans="1:20" x14ac:dyDescent="0.25">
      <c r="A23">
        <v>0</v>
      </c>
      <c r="B23">
        <v>22.9239</v>
      </c>
      <c r="C23">
        <v>1.24E-2</v>
      </c>
    </row>
    <row r="24" spans="1:20" x14ac:dyDescent="0.25">
      <c r="A24">
        <v>1</v>
      </c>
      <c r="B24">
        <v>22.9239</v>
      </c>
      <c r="C24">
        <v>1.24E-2</v>
      </c>
    </row>
    <row r="25" spans="1:20" x14ac:dyDescent="0.25">
      <c r="A25">
        <v>2</v>
      </c>
      <c r="B25">
        <v>41.854300000000002</v>
      </c>
      <c r="C25">
        <v>3.6200000000000003E-2</v>
      </c>
    </row>
    <row r="26" spans="1:20" x14ac:dyDescent="0.25">
      <c r="A26">
        <v>3</v>
      </c>
      <c r="B26">
        <v>95.009799999999998</v>
      </c>
      <c r="C26">
        <v>2.5000000000000001E-2</v>
      </c>
    </row>
    <row r="27" spans="1:20" x14ac:dyDescent="0.25">
      <c r="A27">
        <v>4</v>
      </c>
      <c r="B27">
        <v>95.52</v>
      </c>
      <c r="C27">
        <v>5.11E-2</v>
      </c>
      <c r="H27" t="s">
        <v>296</v>
      </c>
      <c r="I27">
        <f>'(STEP 2) Alternative BMP Choice'!D19/'(STEP 1) Baseline Conditions'!B9</f>
        <v>0.76957270819177603</v>
      </c>
    </row>
    <row r="28" spans="1:20" x14ac:dyDescent="0.25">
      <c r="A28">
        <v>5</v>
      </c>
      <c r="B28">
        <v>97.318399999999997</v>
      </c>
      <c r="C28">
        <v>0.1103</v>
      </c>
    </row>
    <row r="29" spans="1:20" x14ac:dyDescent="0.25">
      <c r="A29">
        <v>6</v>
      </c>
      <c r="B29">
        <v>97.004099999999994</v>
      </c>
      <c r="C29">
        <v>0.31330000000000002</v>
      </c>
    </row>
    <row r="30" spans="1:20" x14ac:dyDescent="0.25">
      <c r="A30">
        <v>7</v>
      </c>
      <c r="B30">
        <v>100</v>
      </c>
      <c r="C30">
        <v>10000000000</v>
      </c>
      <c r="H30" t="s">
        <v>295</v>
      </c>
      <c r="I30">
        <f>IF($I$27&lt;1, (LN(((($I$13-$I$27)/(INDEX($B$2:$B$43, MATCH($I$10,$A$2:$A$43,0),0))-1)*(-1))))/-0.313,0)</f>
        <v>13.137556656530252</v>
      </c>
    </row>
    <row r="31" spans="1:20" x14ac:dyDescent="0.25">
      <c r="A31">
        <v>8</v>
      </c>
      <c r="B31" s="56">
        <v>100</v>
      </c>
      <c r="C31" s="56">
        <v>10000000000</v>
      </c>
      <c r="H31" t="s">
        <v>297</v>
      </c>
      <c r="I31">
        <f>I30*3.28084</f>
        <v>43.102221381010715</v>
      </c>
    </row>
    <row r="32" spans="1:20" x14ac:dyDescent="0.25">
      <c r="A32">
        <v>9</v>
      </c>
      <c r="B32" s="56">
        <v>100</v>
      </c>
      <c r="C32" s="56">
        <v>10000000000</v>
      </c>
    </row>
    <row r="33" spans="1:9" x14ac:dyDescent="0.25">
      <c r="A33">
        <v>10</v>
      </c>
      <c r="B33" s="56">
        <v>100</v>
      </c>
      <c r="C33" s="56">
        <v>10000000000</v>
      </c>
    </row>
    <row r="34" spans="1:9" x14ac:dyDescent="0.25">
      <c r="A34">
        <v>11</v>
      </c>
      <c r="B34" s="56">
        <v>100</v>
      </c>
      <c r="C34" s="56">
        <v>10000000000</v>
      </c>
    </row>
    <row r="35" spans="1:9" x14ac:dyDescent="0.25">
      <c r="A35">
        <v>12</v>
      </c>
      <c r="B35" s="56">
        <v>100</v>
      </c>
      <c r="C35" s="56">
        <v>10000000000</v>
      </c>
      <c r="H35" t="s">
        <v>298</v>
      </c>
      <c r="I35">
        <f>(LN(((((100*('(STEP 1) Baseline Conditions'!$B$17/'(STEP 1) Baseline Conditions'!$B$9)))/(INDEX($B$2:$B$43, MATCH($I$10,$A$2:$A$43,0),0))-1)*(-1))))/-0.313</f>
        <v>15.254607028754013</v>
      </c>
    </row>
    <row r="36" spans="1:9" x14ac:dyDescent="0.25">
      <c r="A36">
        <v>13</v>
      </c>
      <c r="B36" s="56">
        <v>100</v>
      </c>
      <c r="C36" s="56">
        <v>10000000000</v>
      </c>
      <c r="H36" s="56" t="s">
        <v>299</v>
      </c>
      <c r="I36">
        <f>I35*3.28084</f>
        <v>50.047924924217313</v>
      </c>
    </row>
    <row r="37" spans="1:9" x14ac:dyDescent="0.25">
      <c r="A37">
        <v>14</v>
      </c>
      <c r="B37" s="56">
        <v>100</v>
      </c>
      <c r="C37" s="56">
        <v>10000000000</v>
      </c>
    </row>
    <row r="38" spans="1:9" x14ac:dyDescent="0.25">
      <c r="A38">
        <v>15</v>
      </c>
      <c r="B38" s="56">
        <v>100</v>
      </c>
      <c r="C38" s="56">
        <v>10000000000</v>
      </c>
      <c r="H38" t="s">
        <v>300</v>
      </c>
      <c r="I38">
        <f>('(STEP 1) Baseline Conditions'!B17/'(STEP 1) Baseline Conditions'!B9)-('(STEP 2) Alternative BMP Choice'!D19/'(STEP 1) Baseline Conditions'!B9)</f>
        <v>0.1922804828251059</v>
      </c>
    </row>
    <row r="39" spans="1:9" x14ac:dyDescent="0.25">
      <c r="A39">
        <v>16</v>
      </c>
      <c r="B39" s="56">
        <v>100</v>
      </c>
      <c r="C39" s="56">
        <v>10000000000</v>
      </c>
      <c r="H39" s="56" t="s">
        <v>298</v>
      </c>
      <c r="I39" s="56">
        <f>(LN(((((100*(I38)))/(INDEX($B$2:$B$43, MATCH($I$10,$A$2:$A$43,0),0))-1)*(-1))))/-0.313</f>
        <v>0.70581367538058903</v>
      </c>
    </row>
    <row r="40" spans="1:9" x14ac:dyDescent="0.25">
      <c r="A40">
        <v>17</v>
      </c>
      <c r="B40" s="56">
        <v>100</v>
      </c>
      <c r="C40" s="56">
        <v>10000000000</v>
      </c>
      <c r="H40" s="56" t="s">
        <v>299</v>
      </c>
      <c r="I40">
        <f>I39*3.28084</f>
        <v>2.3156617387356517</v>
      </c>
    </row>
    <row r="41" spans="1:9" x14ac:dyDescent="0.25">
      <c r="A41">
        <v>18</v>
      </c>
      <c r="B41" s="56">
        <v>100</v>
      </c>
      <c r="C41" s="56">
        <v>10000000000</v>
      </c>
    </row>
    <row r="42" spans="1:9" x14ac:dyDescent="0.25">
      <c r="A42">
        <v>19</v>
      </c>
      <c r="B42" s="56">
        <v>100</v>
      </c>
      <c r="C42" s="56">
        <v>10000000000</v>
      </c>
    </row>
    <row r="43" spans="1:9" x14ac:dyDescent="0.25">
      <c r="A43">
        <v>20</v>
      </c>
      <c r="B43" s="56">
        <v>100</v>
      </c>
      <c r="C43" s="56">
        <v>10000000000</v>
      </c>
    </row>
  </sheetData>
  <sheetProtection selectLockedCells="1" selectUnlockedCells="1"/>
  <mergeCells count="2">
    <mergeCell ref="H1:I1"/>
    <mergeCell ref="E1:F1"/>
  </mergeCells>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2" tint="-0.89999084444715716"/>
  </sheetPr>
  <dimension ref="A1:AW34"/>
  <sheetViews>
    <sheetView topLeftCell="S148" zoomScale="60" zoomScaleNormal="60" workbookViewId="0">
      <selection activeCell="Z41" sqref="Z41"/>
    </sheetView>
  </sheetViews>
  <sheetFormatPr defaultRowHeight="15" x14ac:dyDescent="0.25"/>
  <cols>
    <col min="1" max="1" width="32.85546875" style="1" bestFit="1" customWidth="1"/>
    <col min="2" max="2" width="17.28515625" style="1" customWidth="1"/>
    <col min="3" max="7" width="21.42578125" style="1" customWidth="1"/>
    <col min="8" max="8" width="18.140625" style="11" customWidth="1"/>
    <col min="9" max="9" width="19.5703125" style="11" customWidth="1"/>
    <col min="10" max="10" width="16.5703125" style="11" customWidth="1"/>
    <col min="11" max="11" width="19.5703125" style="11" customWidth="1"/>
    <col min="12" max="12" width="16.5703125" style="11" customWidth="1"/>
    <col min="13" max="13" width="19.85546875" style="11" customWidth="1"/>
    <col min="14" max="15" width="16.5703125" style="11" customWidth="1"/>
    <col min="16" max="16" width="18.28515625" style="11" customWidth="1"/>
    <col min="17" max="17" width="19.85546875" style="11" customWidth="1"/>
    <col min="18" max="18" width="15.140625" style="11" customWidth="1"/>
    <col min="19" max="19" width="18.5703125" style="11" customWidth="1"/>
    <col min="20" max="20" width="15.140625" style="11" customWidth="1"/>
    <col min="21" max="21" width="18.5703125" style="11" customWidth="1"/>
    <col min="22" max="37" width="15.140625" style="11" customWidth="1"/>
  </cols>
  <sheetData>
    <row r="1" spans="1:49" ht="21" x14ac:dyDescent="0.35">
      <c r="B1" s="192" t="s">
        <v>104</v>
      </c>
      <c r="C1" s="192"/>
      <c r="D1" s="192"/>
      <c r="E1" s="192"/>
      <c r="F1" s="192"/>
      <c r="G1" s="192"/>
      <c r="H1" s="191" t="s">
        <v>105</v>
      </c>
      <c r="I1" s="191"/>
      <c r="J1" s="191"/>
      <c r="K1" s="191"/>
      <c r="L1" s="191"/>
      <c r="M1" s="191"/>
      <c r="N1" s="191"/>
      <c r="O1" s="191"/>
      <c r="P1" s="188" t="s">
        <v>108</v>
      </c>
      <c r="Q1" s="188"/>
      <c r="R1" s="188"/>
      <c r="S1" s="188"/>
      <c r="T1" s="188"/>
      <c r="U1" s="188"/>
      <c r="V1" s="188"/>
      <c r="W1" s="188"/>
      <c r="X1" s="191" t="s">
        <v>174</v>
      </c>
      <c r="Y1" s="191"/>
      <c r="Z1" s="191"/>
      <c r="AA1" s="191"/>
      <c r="AB1" s="191"/>
      <c r="AC1" s="191"/>
      <c r="AD1" s="188" t="s">
        <v>175</v>
      </c>
      <c r="AE1" s="188"/>
      <c r="AF1" s="188"/>
      <c r="AG1" s="188"/>
      <c r="AH1" s="188"/>
      <c r="AI1" s="188"/>
      <c r="AJ1" s="50"/>
      <c r="AK1" s="50"/>
      <c r="AL1" s="186" t="s">
        <v>128</v>
      </c>
      <c r="AM1" s="186"/>
      <c r="AN1" s="186"/>
      <c r="AO1" s="186"/>
      <c r="AP1" s="186"/>
      <c r="AQ1" s="186"/>
      <c r="AR1" s="186" t="s">
        <v>132</v>
      </c>
      <c r="AS1" s="186"/>
      <c r="AT1" s="186"/>
      <c r="AU1" s="186"/>
      <c r="AV1" s="186"/>
      <c r="AW1" s="186"/>
    </row>
    <row r="2" spans="1:49" ht="18.75" x14ac:dyDescent="0.3">
      <c r="B2" s="193" t="s">
        <v>289</v>
      </c>
      <c r="C2" s="194"/>
      <c r="D2" s="195" t="s">
        <v>111</v>
      </c>
      <c r="E2" s="196"/>
      <c r="F2" s="195" t="s">
        <v>112</v>
      </c>
      <c r="G2" s="196"/>
      <c r="H2" s="197" t="s">
        <v>289</v>
      </c>
      <c r="I2" s="198"/>
      <c r="J2" s="197" t="s">
        <v>111</v>
      </c>
      <c r="K2" s="198"/>
      <c r="L2" s="197" t="s">
        <v>112</v>
      </c>
      <c r="M2" s="198"/>
      <c r="N2" s="202" t="s">
        <v>123</v>
      </c>
      <c r="O2" s="202"/>
      <c r="P2" s="199" t="s">
        <v>289</v>
      </c>
      <c r="Q2" s="200"/>
      <c r="R2" s="199" t="s">
        <v>111</v>
      </c>
      <c r="S2" s="200"/>
      <c r="T2" s="199" t="s">
        <v>112</v>
      </c>
      <c r="U2" s="200"/>
      <c r="V2" s="201" t="s">
        <v>123</v>
      </c>
      <c r="W2" s="189"/>
      <c r="X2" s="190" t="s">
        <v>183</v>
      </c>
      <c r="Y2" s="190"/>
      <c r="Z2" s="190" t="s">
        <v>0</v>
      </c>
      <c r="AA2" s="190"/>
      <c r="AB2" s="190" t="s">
        <v>1</v>
      </c>
      <c r="AC2" s="190"/>
      <c r="AD2" s="189" t="s">
        <v>289</v>
      </c>
      <c r="AE2" s="189"/>
      <c r="AF2" s="189" t="s">
        <v>111</v>
      </c>
      <c r="AG2" s="189"/>
      <c r="AH2" s="189" t="s">
        <v>112</v>
      </c>
      <c r="AI2" s="189"/>
      <c r="AJ2" s="51"/>
      <c r="AK2" s="51"/>
      <c r="AL2" s="186" t="s">
        <v>129</v>
      </c>
      <c r="AM2" s="186"/>
      <c r="AN2" s="186"/>
      <c r="AO2" s="186" t="s">
        <v>130</v>
      </c>
      <c r="AP2" s="186"/>
      <c r="AQ2" s="186"/>
      <c r="AR2" s="186" t="s">
        <v>129</v>
      </c>
      <c r="AS2" s="186"/>
      <c r="AT2" s="186"/>
      <c r="AU2" s="186" t="s">
        <v>130</v>
      </c>
      <c r="AV2" s="186"/>
      <c r="AW2" s="186"/>
    </row>
    <row r="3" spans="1:49" s="1" customFormat="1" ht="45" x14ac:dyDescent="0.25">
      <c r="A3" s="1" t="s">
        <v>48</v>
      </c>
      <c r="B3" s="32" t="s">
        <v>103</v>
      </c>
      <c r="C3" s="33" t="s">
        <v>121</v>
      </c>
      <c r="D3" s="32" t="s">
        <v>103</v>
      </c>
      <c r="E3" s="33" t="s">
        <v>121</v>
      </c>
      <c r="F3" s="32" t="s">
        <v>103</v>
      </c>
      <c r="G3" s="33" t="s">
        <v>121</v>
      </c>
      <c r="H3" s="20" t="s">
        <v>103</v>
      </c>
      <c r="I3" s="21" t="s">
        <v>121</v>
      </c>
      <c r="J3" s="20" t="s">
        <v>103</v>
      </c>
      <c r="K3" s="21" t="s">
        <v>121</v>
      </c>
      <c r="L3" s="20" t="s">
        <v>103</v>
      </c>
      <c r="M3" s="21" t="s">
        <v>121</v>
      </c>
      <c r="N3" s="12" t="s">
        <v>106</v>
      </c>
      <c r="O3" s="12" t="s">
        <v>107</v>
      </c>
      <c r="P3" s="26" t="s">
        <v>103</v>
      </c>
      <c r="Q3" s="27" t="s">
        <v>121</v>
      </c>
      <c r="R3" s="26" t="s">
        <v>103</v>
      </c>
      <c r="S3" s="27" t="s">
        <v>121</v>
      </c>
      <c r="T3" s="26" t="s">
        <v>103</v>
      </c>
      <c r="U3" s="27" t="s">
        <v>121</v>
      </c>
      <c r="V3" s="8" t="s">
        <v>109</v>
      </c>
      <c r="W3" s="8" t="s">
        <v>110</v>
      </c>
      <c r="X3" s="12" t="s">
        <v>173</v>
      </c>
      <c r="Y3" s="12" t="s">
        <v>172</v>
      </c>
      <c r="Z3" s="12" t="s">
        <v>173</v>
      </c>
      <c r="AA3" s="12" t="s">
        <v>172</v>
      </c>
      <c r="AB3" s="12" t="s">
        <v>173</v>
      </c>
      <c r="AC3" s="12" t="s">
        <v>172</v>
      </c>
      <c r="AD3" s="8" t="s">
        <v>173</v>
      </c>
      <c r="AE3" s="8" t="s">
        <v>172</v>
      </c>
      <c r="AF3" s="8" t="s">
        <v>173</v>
      </c>
      <c r="AG3" s="8" t="s">
        <v>172</v>
      </c>
      <c r="AH3" s="8" t="s">
        <v>173</v>
      </c>
      <c r="AI3" s="8" t="s">
        <v>172</v>
      </c>
      <c r="AJ3" s="52"/>
      <c r="AK3" s="52"/>
      <c r="AL3" s="1" t="s">
        <v>125</v>
      </c>
      <c r="AM3" s="1" t="s">
        <v>126</v>
      </c>
      <c r="AN3" s="1" t="s">
        <v>127</v>
      </c>
      <c r="AO3" s="3" t="s">
        <v>125</v>
      </c>
      <c r="AP3" s="3" t="s">
        <v>126</v>
      </c>
      <c r="AQ3" s="3" t="s">
        <v>127</v>
      </c>
      <c r="AR3" s="7" t="s">
        <v>290</v>
      </c>
      <c r="AS3" s="7" t="s">
        <v>131</v>
      </c>
      <c r="AT3" s="7" t="s">
        <v>291</v>
      </c>
      <c r="AU3" s="7" t="s">
        <v>290</v>
      </c>
      <c r="AV3" s="7" t="s">
        <v>131</v>
      </c>
      <c r="AW3" s="7" t="s">
        <v>291</v>
      </c>
    </row>
    <row r="4" spans="1:49" ht="15.75" customHeight="1" x14ac:dyDescent="0.25">
      <c r="A4" s="1" t="s">
        <v>87</v>
      </c>
      <c r="B4" s="34">
        <f>D4*C_factor!E2</f>
        <v>2.3216250557950877</v>
      </c>
      <c r="C4" s="35">
        <f>'P Index Results'!B3/10</f>
        <v>0.84299999999999997</v>
      </c>
      <c r="D4" s="38">
        <v>2.08</v>
      </c>
      <c r="E4" s="35">
        <f>'P Index Results'!C3/10</f>
        <v>0.45099999999999996</v>
      </c>
      <c r="F4" s="34">
        <f>D4*C_factor!F2</f>
        <v>1.4034076578721861</v>
      </c>
      <c r="G4" s="35">
        <f>'P Index Results'!D3/10</f>
        <v>0.43899999999999995</v>
      </c>
      <c r="H4" s="22">
        <f t="shared" ref="H4:H33" si="0">B4*((100-N4)/100)</f>
        <v>1.3595451582548437</v>
      </c>
      <c r="I4" s="23">
        <f t="shared" ref="I4:I33" si="1">C4*((100-O4)/100)</f>
        <v>0.66048792074666185</v>
      </c>
      <c r="J4" s="22">
        <f t="shared" ref="J4:J33" si="2">D4*((100-N4)/100)</f>
        <v>1.2180493668051058</v>
      </c>
      <c r="K4" s="23">
        <f t="shared" ref="K4:K33" si="3">E4*((100-O4)/100)</f>
        <v>0.35335712011476217</v>
      </c>
      <c r="L4" s="22">
        <f t="shared" ref="L4:L33" si="4">F4*((100-N4)/100)</f>
        <v>0.82183644665415989</v>
      </c>
      <c r="M4" s="23">
        <f t="shared" ref="M4:M33" si="5">G4*((100-O4)/100)</f>
        <v>0.34395515683011213</v>
      </c>
      <c r="N4" s="13">
        <f>'Buffer Trapping Line'!V2*(1-EXP(-'Buffer Trapping Line'!W2*5.03))</f>
        <v>41.439934288216072</v>
      </c>
      <c r="O4" s="13">
        <f>'Buffer Trapping Line'!S2*(1-EXP(-'Buffer Trapping Line'!T2*5.03))</f>
        <v>21.650305961250073</v>
      </c>
      <c r="P4" s="28">
        <f t="shared" ref="P4:P33" si="6">B4*((100-V4)/100)</f>
        <v>0.48293506360864036</v>
      </c>
      <c r="Q4" s="29">
        <f t="shared" ref="Q4:Q33" si="7">C4*((100-W4)/100)</f>
        <v>0.40734684198422988</v>
      </c>
      <c r="R4" s="28">
        <f t="shared" ref="R4:R33" si="8">D4*((100-V4)/100)</f>
        <v>0.43267319578525087</v>
      </c>
      <c r="S4" s="29">
        <f t="shared" ref="S4:S33" si="9">E4*((100-W4)/100)</f>
        <v>0.21792814440674693</v>
      </c>
      <c r="T4" s="28">
        <f t="shared" ref="T4:T33" si="10">F4*((100-V4)/100)</f>
        <v>0.29193119053896766</v>
      </c>
      <c r="U4" s="29">
        <f t="shared" ref="U4:U33" si="11">G4*((100-W4)/100)</f>
        <v>0.21212961284825257</v>
      </c>
      <c r="V4" s="10">
        <f>'Buffer Trapping Line'!V2*(1-EXP(-'Buffer Trapping Line'!W2*15.24))</f>
        <v>79.198404048786017</v>
      </c>
      <c r="W4" s="10">
        <f>'Buffer Trapping Line'!S2*(1-EXP(-'Buffer Trapping Line'!T2*15.24))</f>
        <v>51.678903679213533</v>
      </c>
      <c r="X4" s="13">
        <f t="shared" ref="X4:AC4" si="12">B4-H4</f>
        <v>0.96207989754024403</v>
      </c>
      <c r="Y4" s="13">
        <f t="shared" si="12"/>
        <v>0.18251207925333812</v>
      </c>
      <c r="Z4" s="13">
        <f t="shared" si="12"/>
        <v>0.86195063319489429</v>
      </c>
      <c r="AA4" s="13">
        <f t="shared" si="12"/>
        <v>9.7642879885237788E-2</v>
      </c>
      <c r="AB4" s="13">
        <f t="shared" si="12"/>
        <v>0.58157121121802624</v>
      </c>
      <c r="AC4" s="13">
        <f t="shared" si="12"/>
        <v>9.5044843169887816E-2</v>
      </c>
      <c r="AD4" s="10">
        <f t="shared" ref="AD4:AI4" si="13">B4-P4</f>
        <v>1.8386899921864472</v>
      </c>
      <c r="AE4" s="10">
        <f t="shared" si="13"/>
        <v>0.43565315801577009</v>
      </c>
      <c r="AF4" s="10">
        <f t="shared" si="13"/>
        <v>1.6473268042147491</v>
      </c>
      <c r="AG4" s="10">
        <f t="shared" si="13"/>
        <v>0.23307185559325302</v>
      </c>
      <c r="AH4" s="10">
        <f t="shared" si="13"/>
        <v>1.1114764673332185</v>
      </c>
      <c r="AI4" s="10">
        <f t="shared" si="13"/>
        <v>0.22687038715174737</v>
      </c>
      <c r="AJ4" s="53"/>
      <c r="AK4" s="53"/>
      <c r="AL4" s="6">
        <f>N4</f>
        <v>41.439934288216072</v>
      </c>
      <c r="AM4" s="6">
        <f>V4-N4</f>
        <v>37.758469760569945</v>
      </c>
      <c r="AN4" s="6">
        <f>V4</f>
        <v>79.198404048786017</v>
      </c>
      <c r="AO4" s="6">
        <f>O4</f>
        <v>21.650305961250073</v>
      </c>
      <c r="AP4" s="6">
        <f>W4-O4</f>
        <v>30.028597717963461</v>
      </c>
      <c r="AQ4" s="6">
        <f>W4</f>
        <v>51.678903679213533</v>
      </c>
      <c r="AR4" s="40">
        <f>(1-(D4/B4))*100</f>
        <v>10.407583050155278</v>
      </c>
      <c r="AS4">
        <f>(1-(F4/D4))*100</f>
        <v>32.528477986914126</v>
      </c>
      <c r="AT4">
        <f>(1-(F4/B4))*100</f>
        <v>39.550632675629849</v>
      </c>
      <c r="AU4">
        <f>(1-(E4/C4))*100</f>
        <v>46.500593119810205</v>
      </c>
      <c r="AV4">
        <f>(1-(G4/E4))*100</f>
        <v>2.6607538802660757</v>
      </c>
      <c r="AW4">
        <f>(1-(G4/C4))*100</f>
        <v>47.924080664294188</v>
      </c>
    </row>
    <row r="5" spans="1:49" x14ac:dyDescent="0.25">
      <c r="A5" s="1" t="s">
        <v>19</v>
      </c>
      <c r="B5" s="34">
        <f>D5*C_factor!E3</f>
        <v>4.6168892442124712</v>
      </c>
      <c r="C5" s="35">
        <f>'P Index Results'!B4/10</f>
        <v>0.89800000000000002</v>
      </c>
      <c r="D5" s="38">
        <v>4.1399999999999997</v>
      </c>
      <c r="E5" s="35">
        <f>'P Index Results'!C4/10</f>
        <v>0.63100000000000001</v>
      </c>
      <c r="F5" s="34">
        <f>D5*C_factor!F3</f>
        <v>2.6312275414955963</v>
      </c>
      <c r="G5" s="35">
        <f>'P Index Results'!D4/10</f>
        <v>0.65700000000000003</v>
      </c>
      <c r="H5" s="22">
        <f t="shared" si="0"/>
        <v>1.0645824982237773</v>
      </c>
      <c r="I5" s="23">
        <f t="shared" si="1"/>
        <v>0.52586939009181966</v>
      </c>
      <c r="J5" s="22">
        <f t="shared" si="2"/>
        <v>0.95461929223693742</v>
      </c>
      <c r="K5" s="23">
        <f t="shared" si="3"/>
        <v>0.36951401464135658</v>
      </c>
      <c r="L5" s="22">
        <f t="shared" si="4"/>
        <v>0.60671994526011186</v>
      </c>
      <c r="M5" s="23">
        <f t="shared" si="5"/>
        <v>0.38473963172642039</v>
      </c>
      <c r="N5" s="13">
        <f>'Buffer Trapping Line'!V3*(1-EXP(-'Buffer Trapping Line'!W3*5.03))</f>
        <v>76.941562989445956</v>
      </c>
      <c r="O5" s="13">
        <f>'Buffer Trapping Line'!S3*(1-EXP(-'Buffer Trapping Line'!T3*5.03))</f>
        <v>41.439934288216072</v>
      </c>
      <c r="P5" s="28">
        <f t="shared" si="6"/>
        <v>0.17611959209518546</v>
      </c>
      <c r="Q5" s="29">
        <f t="shared" si="7"/>
        <v>0.18679833164190157</v>
      </c>
      <c r="R5" s="28">
        <f t="shared" si="8"/>
        <v>0.15792778919010877</v>
      </c>
      <c r="S5" s="29">
        <f t="shared" si="9"/>
        <v>0.13125807045216023</v>
      </c>
      <c r="T5" s="28">
        <f t="shared" si="10"/>
        <v>0.10037293441655187</v>
      </c>
      <c r="U5" s="29">
        <f t="shared" si="11"/>
        <v>0.13666648539947587</v>
      </c>
      <c r="V5" s="10">
        <f>'Buffer Trapping Line'!V3*(1-EXP(-'Buffer Trapping Line'!W3*15.24))</f>
        <v>96.185319101688194</v>
      </c>
      <c r="W5" s="10">
        <f>'Buffer Trapping Line'!S3*(1-EXP(-'Buffer Trapping Line'!T3*15.24))</f>
        <v>79.198404048786017</v>
      </c>
      <c r="X5" s="13">
        <f t="shared" ref="X5:X33" si="14">B5-H5</f>
        <v>3.5523067459886937</v>
      </c>
      <c r="Y5" s="13">
        <f t="shared" ref="Y5:Y33" si="15">C5-I5</f>
        <v>0.37213060990818037</v>
      </c>
      <c r="Z5" s="13">
        <f t="shared" ref="Z5:Z33" si="16">D5-J5</f>
        <v>3.1853807077630623</v>
      </c>
      <c r="AA5" s="13">
        <f t="shared" ref="AA5:AA33" si="17">E5-K5</f>
        <v>0.26148598535864342</v>
      </c>
      <c r="AB5" s="13">
        <f t="shared" ref="AB5:AB33" si="18">F5-L5</f>
        <v>2.0245075962354844</v>
      </c>
      <c r="AC5" s="13">
        <f t="shared" ref="AC5:AC33" si="19">G5-M5</f>
        <v>0.27226036827357963</v>
      </c>
      <c r="AD5" s="10">
        <f t="shared" ref="AD5:AD33" si="20">B5-P5</f>
        <v>4.4407696521172859</v>
      </c>
      <c r="AE5" s="10">
        <f t="shared" ref="AE5:AE33" si="21">C5-Q5</f>
        <v>0.71120166835809839</v>
      </c>
      <c r="AF5" s="10">
        <f t="shared" ref="AF5:AF33" si="22">D5-R5</f>
        <v>3.9820722108098909</v>
      </c>
      <c r="AG5" s="10">
        <f t="shared" ref="AG5:AG33" si="23">E5-S5</f>
        <v>0.4997419295478398</v>
      </c>
      <c r="AH5" s="10">
        <f t="shared" ref="AH5:AH33" si="24">F5-T5</f>
        <v>2.5308546070790445</v>
      </c>
      <c r="AI5" s="10">
        <f t="shared" ref="AI5:AI33" si="25">G5-U5</f>
        <v>0.52033351460052413</v>
      </c>
      <c r="AJ5" s="53"/>
      <c r="AK5" s="53"/>
      <c r="AL5" s="6">
        <f t="shared" ref="AL5:AL33" si="26">N5</f>
        <v>76.941562989445956</v>
      </c>
      <c r="AM5" s="6">
        <f t="shared" ref="AM5:AM33" si="27">V5-N5</f>
        <v>19.243756112242238</v>
      </c>
      <c r="AN5" s="6">
        <f t="shared" ref="AN5:AN33" si="28">V5</f>
        <v>96.185319101688194</v>
      </c>
      <c r="AO5" s="6">
        <f t="shared" ref="AO5:AO33" si="29">O5</f>
        <v>41.439934288216072</v>
      </c>
      <c r="AP5" s="6">
        <f t="shared" ref="AP5:AP33" si="30">W5-O5</f>
        <v>37.758469760569945</v>
      </c>
      <c r="AQ5" s="6">
        <f t="shared" ref="AQ5:AQ33" si="31">W5</f>
        <v>79.198404048786017</v>
      </c>
      <c r="AR5" s="40">
        <f t="shared" ref="AR5:AR33" si="32">((1-(D5/B5))*100)</f>
        <v>10.329232931248654</v>
      </c>
      <c r="AS5">
        <f t="shared" ref="AS5:AS33" si="33">(1-(F5/D5))*100</f>
        <v>36.443779190927614</v>
      </c>
      <c r="AT5">
        <f t="shared" ref="AT5:AT33" si="34">(1-(F5/B5))*100</f>
        <v>43.008649280595435</v>
      </c>
      <c r="AU5">
        <f t="shared" ref="AU5:AU33" si="35">(1-(E5/C5))*100</f>
        <v>29.732739420935417</v>
      </c>
      <c r="AV5">
        <f t="shared" ref="AV5:AV33" si="36">(1-(G5/E5))*100</f>
        <v>-4.1204437400950811</v>
      </c>
      <c r="AW5">
        <f t="shared" ref="AW5:AW33" si="37">(1-(G5/C5))*100</f>
        <v>26.837416481069042</v>
      </c>
    </row>
    <row r="6" spans="1:49" x14ac:dyDescent="0.25">
      <c r="A6" s="1" t="s">
        <v>20</v>
      </c>
      <c r="B6" s="34">
        <f>D6*C_factor!E4</f>
        <v>83.668249224423491</v>
      </c>
      <c r="C6" s="35">
        <f>'P Index Results'!B5/10</f>
        <v>7.141</v>
      </c>
      <c r="D6" s="38">
        <v>68.47</v>
      </c>
      <c r="E6" s="35">
        <f>'P Index Results'!C5/10</f>
        <v>5.1070000000000002</v>
      </c>
      <c r="F6" s="34">
        <f>D6*C_factor!F4</f>
        <v>54.938114792946536</v>
      </c>
      <c r="G6" s="35">
        <f>'P Index Results'!D5/10</f>
        <v>5.0540000000000003</v>
      </c>
      <c r="H6" s="22">
        <f t="shared" si="0"/>
        <v>82.508496654370532</v>
      </c>
      <c r="I6" s="23">
        <f t="shared" si="1"/>
        <v>7.0420162973467528</v>
      </c>
      <c r="J6" s="22">
        <f t="shared" si="2"/>
        <v>67.520915261074379</v>
      </c>
      <c r="K6" s="23">
        <f t="shared" si="3"/>
        <v>5.0362102269359843</v>
      </c>
      <c r="L6" s="22">
        <f t="shared" si="4"/>
        <v>54.176599876408936</v>
      </c>
      <c r="M6" s="23">
        <f t="shared" si="5"/>
        <v>4.9839448770186934</v>
      </c>
      <c r="N6" s="13">
        <f>'Buffer Trapping Line'!V4*(1-EXP(-'Buffer Trapping Line'!W4*5.03))</f>
        <v>1.3861322315256637</v>
      </c>
      <c r="O6" s="13">
        <f>'Buffer Trapping Line'!S4*(1-EXP(-'Buffer Trapping Line'!T4*5.03))</f>
        <v>1.3861322315256637</v>
      </c>
      <c r="P6" s="28">
        <f t="shared" si="6"/>
        <v>80.365571034252682</v>
      </c>
      <c r="Q6" s="29">
        <f t="shared" si="7"/>
        <v>6.8591197745306083</v>
      </c>
      <c r="R6" s="28">
        <f t="shared" si="8"/>
        <v>65.767249819648612</v>
      </c>
      <c r="S6" s="29">
        <f t="shared" si="9"/>
        <v>4.905408862698196</v>
      </c>
      <c r="T6" s="28">
        <f t="shared" si="10"/>
        <v>52.769515411249422</v>
      </c>
      <c r="U6" s="29">
        <f t="shared" si="11"/>
        <v>4.8545009579159357</v>
      </c>
      <c r="V6" s="10">
        <f>'Buffer Trapping Line'!V4*(1-EXP(-'Buffer Trapping Line'!W4*15.24))</f>
        <v>3.9473494674330158</v>
      </c>
      <c r="W6" s="10">
        <f>'Buffer Trapping Line'!S4*(1-EXP(-'Buffer Trapping Line'!T4*15.24))</f>
        <v>3.9473494674330158</v>
      </c>
      <c r="X6" s="13">
        <f t="shared" si="14"/>
        <v>1.1597525700529587</v>
      </c>
      <c r="Y6" s="13">
        <f t="shared" si="15"/>
        <v>9.8983702653247185E-2</v>
      </c>
      <c r="Z6" s="13">
        <f t="shared" si="16"/>
        <v>0.94908473892562029</v>
      </c>
      <c r="AA6" s="13">
        <f t="shared" si="17"/>
        <v>7.0789773064015904E-2</v>
      </c>
      <c r="AB6" s="13">
        <f t="shared" si="18"/>
        <v>0.76151491653759962</v>
      </c>
      <c r="AC6" s="13">
        <f t="shared" si="19"/>
        <v>7.0055122981306894E-2</v>
      </c>
      <c r="AD6" s="10">
        <f t="shared" si="20"/>
        <v>3.3026781901708091</v>
      </c>
      <c r="AE6" s="10">
        <f t="shared" si="21"/>
        <v>0.28188022546939173</v>
      </c>
      <c r="AF6" s="10">
        <f t="shared" si="22"/>
        <v>2.7027501803513871</v>
      </c>
      <c r="AG6" s="10">
        <f t="shared" si="23"/>
        <v>0.20159113730180422</v>
      </c>
      <c r="AH6" s="10">
        <f t="shared" si="24"/>
        <v>2.1685993816971134</v>
      </c>
      <c r="AI6" s="10">
        <f t="shared" si="25"/>
        <v>0.19949904208406455</v>
      </c>
      <c r="AJ6" s="53"/>
      <c r="AK6" s="53"/>
      <c r="AL6" s="6">
        <f t="shared" si="26"/>
        <v>1.3861322315256637</v>
      </c>
      <c r="AM6" s="6">
        <f t="shared" si="27"/>
        <v>2.5612172359073524</v>
      </c>
      <c r="AN6" s="6">
        <f t="shared" si="28"/>
        <v>3.9473494674330158</v>
      </c>
      <c r="AO6" s="6">
        <f t="shared" si="29"/>
        <v>1.3861322315256637</v>
      </c>
      <c r="AP6" s="6">
        <f t="shared" si="30"/>
        <v>2.5612172359073524</v>
      </c>
      <c r="AQ6" s="6">
        <f t="shared" si="31"/>
        <v>3.9473494674330158</v>
      </c>
      <c r="AR6" s="40">
        <f t="shared" si="32"/>
        <v>18.164894527262309</v>
      </c>
      <c r="AS6">
        <f t="shared" si="33"/>
        <v>19.763232374840754</v>
      </c>
      <c r="AT6">
        <f t="shared" si="34"/>
        <v>34.338156586035481</v>
      </c>
      <c r="AU6">
        <f t="shared" si="35"/>
        <v>28.483405685478225</v>
      </c>
      <c r="AV6">
        <f t="shared" si="36"/>
        <v>1.037791266888588</v>
      </c>
      <c r="AW6">
        <f t="shared" si="37"/>
        <v>29.225598655650465</v>
      </c>
    </row>
    <row r="7" spans="1:49" x14ac:dyDescent="0.25">
      <c r="A7" s="1" t="s">
        <v>21</v>
      </c>
      <c r="B7" s="34">
        <f>D7*C_factor!E5</f>
        <v>4.3049020286303765</v>
      </c>
      <c r="C7" s="35">
        <f>'P Index Results'!B6/10</f>
        <v>0.98599999999999999</v>
      </c>
      <c r="D7" s="38">
        <v>4.05</v>
      </c>
      <c r="E7" s="35">
        <f>'P Index Results'!C6/10</f>
        <v>0.58399999999999996</v>
      </c>
      <c r="F7" s="34">
        <f>D7*C_factor!F5</f>
        <v>2.8020044995700402</v>
      </c>
      <c r="G7" s="35">
        <f>'P Index Results'!D6/10</f>
        <v>0.57699999999999996</v>
      </c>
      <c r="H7" s="22">
        <f t="shared" si="0"/>
        <v>2.5209534567938676</v>
      </c>
      <c r="I7" s="23">
        <f t="shared" si="1"/>
        <v>0.77252798322207428</v>
      </c>
      <c r="J7" s="22">
        <f t="shared" si="2"/>
        <v>2.3716826613272488</v>
      </c>
      <c r="K7" s="23">
        <f t="shared" si="3"/>
        <v>0.45756221318629953</v>
      </c>
      <c r="L7" s="22">
        <f t="shared" si="4"/>
        <v>1.6408556761953579</v>
      </c>
      <c r="M7" s="23">
        <f t="shared" si="5"/>
        <v>0.45207773460358708</v>
      </c>
      <c r="N7" s="13">
        <f>'Buffer Trapping Line'!V5*(1-EXP(-'Buffer Trapping Line'!W5*5.03))</f>
        <v>41.439934288216072</v>
      </c>
      <c r="O7" s="13">
        <f>'Buffer Trapping Line'!S5*(1-EXP(-'Buffer Trapping Line'!T5*5.03))</f>
        <v>21.650305961250073</v>
      </c>
      <c r="P7" s="28">
        <f t="shared" si="6"/>
        <v>0.89548832609130502</v>
      </c>
      <c r="Q7" s="29">
        <f t="shared" si="7"/>
        <v>0.47644600972295453</v>
      </c>
      <c r="R7" s="28">
        <f t="shared" si="8"/>
        <v>0.84246463602416632</v>
      </c>
      <c r="S7" s="29">
        <f t="shared" si="9"/>
        <v>0.28219520251339297</v>
      </c>
      <c r="T7" s="28">
        <f t="shared" si="10"/>
        <v>0.58286165453539507</v>
      </c>
      <c r="U7" s="29">
        <f t="shared" si="11"/>
        <v>0.27881272577093791</v>
      </c>
      <c r="V7" s="10">
        <f>'Buffer Trapping Line'!V5*(1-EXP(-'Buffer Trapping Line'!W5*15.24))</f>
        <v>79.198404048786017</v>
      </c>
      <c r="W7" s="10">
        <f>'Buffer Trapping Line'!S5*(1-EXP(-'Buffer Trapping Line'!T5*15.24))</f>
        <v>51.678903679213533</v>
      </c>
      <c r="X7" s="13">
        <f t="shared" si="14"/>
        <v>1.7839485718365089</v>
      </c>
      <c r="Y7" s="13">
        <f t="shared" si="15"/>
        <v>0.21347201677792571</v>
      </c>
      <c r="Z7" s="13">
        <f t="shared" si="16"/>
        <v>1.678317338672751</v>
      </c>
      <c r="AA7" s="13">
        <f t="shared" si="17"/>
        <v>0.12643778681370044</v>
      </c>
      <c r="AB7" s="13">
        <f t="shared" si="18"/>
        <v>1.1611488233746823</v>
      </c>
      <c r="AC7" s="13">
        <f t="shared" si="19"/>
        <v>0.12492226539641288</v>
      </c>
      <c r="AD7" s="10">
        <f t="shared" si="20"/>
        <v>3.4094137025390716</v>
      </c>
      <c r="AE7" s="10">
        <f t="shared" si="21"/>
        <v>0.5095539902770454</v>
      </c>
      <c r="AF7" s="10">
        <f t="shared" si="22"/>
        <v>3.2075353639758335</v>
      </c>
      <c r="AG7" s="10">
        <f t="shared" si="23"/>
        <v>0.30180479748660699</v>
      </c>
      <c r="AH7" s="10">
        <f t="shared" si="24"/>
        <v>2.2191428450346451</v>
      </c>
      <c r="AI7" s="10">
        <f t="shared" si="25"/>
        <v>0.29818727422906205</v>
      </c>
      <c r="AJ7" s="53"/>
      <c r="AK7" s="53"/>
      <c r="AL7" s="6">
        <f t="shared" si="26"/>
        <v>41.439934288216072</v>
      </c>
      <c r="AM7" s="6">
        <f t="shared" si="27"/>
        <v>37.758469760569945</v>
      </c>
      <c r="AN7" s="6">
        <f t="shared" si="28"/>
        <v>79.198404048786017</v>
      </c>
      <c r="AO7" s="6">
        <f t="shared" si="29"/>
        <v>21.650305961250073</v>
      </c>
      <c r="AP7" s="6">
        <f t="shared" si="30"/>
        <v>30.028597717963461</v>
      </c>
      <c r="AQ7" s="6">
        <f t="shared" si="31"/>
        <v>51.678903679213533</v>
      </c>
      <c r="AR7" s="40">
        <f t="shared" si="32"/>
        <v>5.9212039422758878</v>
      </c>
      <c r="AS7">
        <f t="shared" si="33"/>
        <v>30.81470371431999</v>
      </c>
      <c r="AT7">
        <f t="shared" si="34"/>
        <v>34.911306205462935</v>
      </c>
      <c r="AU7">
        <f t="shared" si="35"/>
        <v>40.770791075050717</v>
      </c>
      <c r="AV7">
        <f t="shared" si="36"/>
        <v>1.1986301369863006</v>
      </c>
      <c r="AW7">
        <f t="shared" si="37"/>
        <v>41.480730223123743</v>
      </c>
    </row>
    <row r="8" spans="1:49" x14ac:dyDescent="0.25">
      <c r="A8" s="1" t="s">
        <v>22</v>
      </c>
      <c r="B8" s="34">
        <f>D8*C_factor!E6</f>
        <v>9.3816830140840519</v>
      </c>
      <c r="C8" s="35">
        <f>'P Index Results'!B7/10</f>
        <v>1.0009999999999999</v>
      </c>
      <c r="D8" s="38">
        <v>7.03</v>
      </c>
      <c r="E8" s="35">
        <f>'P Index Results'!C7/10</f>
        <v>0.61599999999999999</v>
      </c>
      <c r="F8" s="34">
        <f>D8*C_factor!F6</f>
        <v>5.1079674848032308</v>
      </c>
      <c r="G8" s="35">
        <f>'P Index Results'!D7/10</f>
        <v>0.6</v>
      </c>
      <c r="H8" s="22">
        <f t="shared" si="0"/>
        <v>8.3284196062933677</v>
      </c>
      <c r="I8" s="23">
        <f t="shared" si="1"/>
        <v>0.93125532688519341</v>
      </c>
      <c r="J8" s="22">
        <f t="shared" si="2"/>
        <v>6.2407554960391707</v>
      </c>
      <c r="K8" s="23">
        <f t="shared" si="3"/>
        <v>0.57308020116011915</v>
      </c>
      <c r="L8" s="22">
        <f t="shared" si="4"/>
        <v>4.534505854107417</v>
      </c>
      <c r="M8" s="23">
        <f t="shared" si="5"/>
        <v>0.5581950011299861</v>
      </c>
      <c r="N8" s="13">
        <f>'Buffer Trapping Line'!V6*(1-EXP(-'Buffer Trapping Line'!W6*5.03))</f>
        <v>11.226806599727302</v>
      </c>
      <c r="O8" s="13">
        <f>'Buffer Trapping Line'!S6*(1-EXP(-'Buffer Trapping Line'!T6*5.03))</f>
        <v>6.9674998116689739</v>
      </c>
      <c r="P8" s="28">
        <f t="shared" si="6"/>
        <v>6.5576833454048433</v>
      </c>
      <c r="Q8" s="29">
        <f t="shared" si="7"/>
        <v>0.82335056097493731</v>
      </c>
      <c r="R8" s="28">
        <f t="shared" si="8"/>
        <v>4.9138852644017748</v>
      </c>
      <c r="S8" s="29">
        <f t="shared" si="9"/>
        <v>0.50667726829226911</v>
      </c>
      <c r="T8" s="28">
        <f t="shared" si="10"/>
        <v>3.5704077033596002</v>
      </c>
      <c r="U8" s="29">
        <f t="shared" si="11"/>
        <v>0.49351681976519723</v>
      </c>
      <c r="V8" s="10">
        <f>'Buffer Trapping Line'!V6*(1-EXP(-'Buffer Trapping Line'!W6*15.24))</f>
        <v>30.101205342791257</v>
      </c>
      <c r="W8" s="10">
        <f>'Buffer Trapping Line'!S6*(1-EXP(-'Buffer Trapping Line'!T6*15.24))</f>
        <v>17.747196705800455</v>
      </c>
      <c r="X8" s="13">
        <f t="shared" si="14"/>
        <v>1.0532634077906842</v>
      </c>
      <c r="Y8" s="13">
        <f t="shared" si="15"/>
        <v>6.9744673114806477E-2</v>
      </c>
      <c r="Z8" s="13">
        <f t="shared" si="16"/>
        <v>0.78924450396082957</v>
      </c>
      <c r="AA8" s="13">
        <f t="shared" si="17"/>
        <v>4.2919798839880841E-2</v>
      </c>
      <c r="AB8" s="13">
        <f t="shared" si="18"/>
        <v>0.5734616306958138</v>
      </c>
      <c r="AC8" s="13">
        <f t="shared" si="19"/>
        <v>4.1804998870013876E-2</v>
      </c>
      <c r="AD8" s="10">
        <f t="shared" si="20"/>
        <v>2.8239996686792086</v>
      </c>
      <c r="AE8" s="10">
        <f t="shared" si="21"/>
        <v>0.17764943902506258</v>
      </c>
      <c r="AF8" s="10">
        <f t="shared" si="22"/>
        <v>2.1161147355982255</v>
      </c>
      <c r="AG8" s="10">
        <f t="shared" si="23"/>
        <v>0.10932273170773088</v>
      </c>
      <c r="AH8" s="10">
        <f t="shared" si="24"/>
        <v>1.5375597814436306</v>
      </c>
      <c r="AI8" s="10">
        <f t="shared" si="25"/>
        <v>0.10648318023480274</v>
      </c>
      <c r="AJ8" s="53"/>
      <c r="AK8" s="53"/>
      <c r="AL8" s="6">
        <f t="shared" si="26"/>
        <v>11.226806599727302</v>
      </c>
      <c r="AM8" s="6">
        <f t="shared" si="27"/>
        <v>18.874398743063956</v>
      </c>
      <c r="AN8" s="6">
        <f t="shared" si="28"/>
        <v>30.101205342791257</v>
      </c>
      <c r="AO8" s="6">
        <f t="shared" si="29"/>
        <v>6.9674998116689739</v>
      </c>
      <c r="AP8" s="6">
        <f t="shared" si="30"/>
        <v>10.779696894131481</v>
      </c>
      <c r="AQ8" s="6">
        <f t="shared" si="31"/>
        <v>17.747196705800455</v>
      </c>
      <c r="AR8" s="40">
        <f t="shared" si="32"/>
        <v>25.066749863043103</v>
      </c>
      <c r="AS8">
        <f t="shared" si="33"/>
        <v>27.340434071077802</v>
      </c>
      <c r="AT8">
        <f t="shared" si="34"/>
        <v>45.553825714053616</v>
      </c>
      <c r="AU8">
        <f t="shared" si="35"/>
        <v>38.46153846153846</v>
      </c>
      <c r="AV8">
        <f t="shared" si="36"/>
        <v>2.5974025974025983</v>
      </c>
      <c r="AW8">
        <f t="shared" si="37"/>
        <v>40.059940059940061</v>
      </c>
    </row>
    <row r="9" spans="1:49" x14ac:dyDescent="0.25">
      <c r="A9" s="1" t="s">
        <v>23</v>
      </c>
      <c r="B9" s="34">
        <f>D9*C_factor!E7</f>
        <v>2.5805381408189083</v>
      </c>
      <c r="C9" s="35">
        <f>'P Index Results'!B8/10</f>
        <v>1.107</v>
      </c>
      <c r="D9" s="38">
        <v>2.4300000000000002</v>
      </c>
      <c r="E9" s="35">
        <f>'P Index Results'!C8/10</f>
        <v>0.54299999999999993</v>
      </c>
      <c r="F9" s="34">
        <f>D9*C_factor!F7</f>
        <v>1.5948022294521682</v>
      </c>
      <c r="G9" s="35">
        <f>'P Index Results'!D8/10</f>
        <v>0.48299999999999998</v>
      </c>
      <c r="H9" s="22">
        <f t="shared" si="0"/>
        <v>0</v>
      </c>
      <c r="I9" s="23">
        <f t="shared" si="1"/>
        <v>0.2552568977068333</v>
      </c>
      <c r="J9" s="22">
        <f t="shared" si="2"/>
        <v>0</v>
      </c>
      <c r="K9" s="23">
        <f t="shared" si="3"/>
        <v>0.12520731296730844</v>
      </c>
      <c r="L9" s="22">
        <f t="shared" si="4"/>
        <v>0</v>
      </c>
      <c r="M9" s="23">
        <f t="shared" si="5"/>
        <v>0.11137225076097604</v>
      </c>
      <c r="N9" s="13">
        <f>'Buffer Trapping Line'!V7*(1-EXP(-'Buffer Trapping Line'!W7*5.03))</f>
        <v>100</v>
      </c>
      <c r="O9" s="13">
        <f>'Buffer Trapping Line'!S7*(1-EXP(-'Buffer Trapping Line'!T7*5.03))</f>
        <v>76.941562989445956</v>
      </c>
      <c r="P9" s="28">
        <f t="shared" si="6"/>
        <v>0</v>
      </c>
      <c r="Q9" s="29">
        <f t="shared" si="7"/>
        <v>4.2228517544311693E-2</v>
      </c>
      <c r="R9" s="28">
        <f t="shared" si="8"/>
        <v>0</v>
      </c>
      <c r="S9" s="29">
        <f t="shared" si="9"/>
        <v>2.0713717277833107E-2</v>
      </c>
      <c r="T9" s="28">
        <f t="shared" si="10"/>
        <v>0</v>
      </c>
      <c r="U9" s="29">
        <f t="shared" si="11"/>
        <v>1.8424908738846023E-2</v>
      </c>
      <c r="V9" s="10">
        <f>'Buffer Trapping Line'!V7*(1-EXP(-'Buffer Trapping Line'!W7*15.24))</f>
        <v>100</v>
      </c>
      <c r="W9" s="10">
        <f>'Buffer Trapping Line'!S7*(1-EXP(-'Buffer Trapping Line'!T7*15.24))</f>
        <v>96.185319101688194</v>
      </c>
      <c r="X9" s="13">
        <f t="shared" si="14"/>
        <v>2.5805381408189083</v>
      </c>
      <c r="Y9" s="13">
        <f t="shared" si="15"/>
        <v>0.85174310229316674</v>
      </c>
      <c r="Z9" s="13">
        <f t="shared" si="16"/>
        <v>2.4300000000000002</v>
      </c>
      <c r="AA9" s="13">
        <f t="shared" si="17"/>
        <v>0.41779268703269146</v>
      </c>
      <c r="AB9" s="13">
        <f t="shared" si="18"/>
        <v>1.5948022294521682</v>
      </c>
      <c r="AC9" s="13">
        <f t="shared" si="19"/>
        <v>0.37162774923902397</v>
      </c>
      <c r="AD9" s="10">
        <f t="shared" si="20"/>
        <v>2.5805381408189083</v>
      </c>
      <c r="AE9" s="10">
        <f t="shared" si="21"/>
        <v>1.0647714824556882</v>
      </c>
      <c r="AF9" s="10">
        <f t="shared" si="22"/>
        <v>2.4300000000000002</v>
      </c>
      <c r="AG9" s="10">
        <f t="shared" si="23"/>
        <v>0.52228628272216682</v>
      </c>
      <c r="AH9" s="10">
        <f t="shared" si="24"/>
        <v>1.5948022294521682</v>
      </c>
      <c r="AI9" s="10">
        <f t="shared" si="25"/>
        <v>0.46457509126115398</v>
      </c>
      <c r="AJ9" s="53"/>
      <c r="AK9" s="53"/>
      <c r="AL9" s="6">
        <f t="shared" si="26"/>
        <v>100</v>
      </c>
      <c r="AM9" s="6">
        <f t="shared" si="27"/>
        <v>0</v>
      </c>
      <c r="AN9" s="6">
        <f t="shared" si="28"/>
        <v>100</v>
      </c>
      <c r="AO9" s="6">
        <f t="shared" si="29"/>
        <v>76.941562989445956</v>
      </c>
      <c r="AP9" s="6">
        <f t="shared" si="30"/>
        <v>19.243756112242238</v>
      </c>
      <c r="AQ9" s="6">
        <f t="shared" si="31"/>
        <v>96.185319101688194</v>
      </c>
      <c r="AR9" s="40">
        <f t="shared" si="32"/>
        <v>5.8335948784363438</v>
      </c>
      <c r="AS9">
        <f t="shared" si="33"/>
        <v>34.370278623367568</v>
      </c>
      <c r="AT9">
        <f t="shared" si="34"/>
        <v>38.198850688326836</v>
      </c>
      <c r="AU9">
        <f t="shared" si="35"/>
        <v>50.94850948509486</v>
      </c>
      <c r="AV9">
        <f t="shared" si="36"/>
        <v>11.049723756906072</v>
      </c>
      <c r="AW9">
        <f t="shared" si="37"/>
        <v>56.36856368563685</v>
      </c>
    </row>
    <row r="10" spans="1:49" x14ac:dyDescent="0.25">
      <c r="A10" s="1" t="s">
        <v>88</v>
      </c>
      <c r="B10" s="34">
        <f>D10*C_factor!E8</f>
        <v>5.4453685107067944</v>
      </c>
      <c r="C10" s="35">
        <f>'P Index Results'!B9/10</f>
        <v>0.69400000000000006</v>
      </c>
      <c r="D10" s="38">
        <v>4.21</v>
      </c>
      <c r="E10" s="35">
        <f>'P Index Results'!C9/10</f>
        <v>0.39600000000000002</v>
      </c>
      <c r="F10" s="34">
        <f>D10*C_factor!F8</f>
        <v>2.9470439499504772</v>
      </c>
      <c r="G10" s="35">
        <f>'P Index Results'!D9/10</f>
        <v>0.38500000000000001</v>
      </c>
      <c r="H10" s="22">
        <f t="shared" si="0"/>
        <v>4.2664295674212074</v>
      </c>
      <c r="I10" s="23">
        <f t="shared" si="1"/>
        <v>0.61608596219789258</v>
      </c>
      <c r="J10" s="22">
        <f t="shared" si="2"/>
        <v>3.298522119031372</v>
      </c>
      <c r="K10" s="23">
        <f t="shared" si="3"/>
        <v>0.35154184586507992</v>
      </c>
      <c r="L10" s="22">
        <f t="shared" si="4"/>
        <v>2.3089999179736895</v>
      </c>
      <c r="M10" s="23">
        <f t="shared" si="5"/>
        <v>0.34177679459104987</v>
      </c>
      <c r="N10" s="13">
        <f>'Buffer Trapping Line'!V8*(1-EXP(-'Buffer Trapping Line'!W8*5.03))</f>
        <v>21.650305961250073</v>
      </c>
      <c r="O10" s="13">
        <f>'Buffer Trapping Line'!S8*(1-EXP(-'Buffer Trapping Line'!T8*5.03))</f>
        <v>11.226806599727302</v>
      </c>
      <c r="P10" s="28">
        <f t="shared" si="6"/>
        <v>2.6312617630804058</v>
      </c>
      <c r="Q10" s="29">
        <f t="shared" si="7"/>
        <v>0.4850976349210287</v>
      </c>
      <c r="R10" s="28">
        <f t="shared" si="8"/>
        <v>2.0343181551051104</v>
      </c>
      <c r="S10" s="29">
        <f t="shared" si="9"/>
        <v>0.2767992268425466</v>
      </c>
      <c r="T10" s="28">
        <f t="shared" si="10"/>
        <v>1.4240439456714802</v>
      </c>
      <c r="U10" s="29">
        <f t="shared" si="11"/>
        <v>0.26911035943025363</v>
      </c>
      <c r="V10" s="10">
        <f>'Buffer Trapping Line'!V8*(1-EXP(-'Buffer Trapping Line'!W8*15.24))</f>
        <v>51.678903679213533</v>
      </c>
      <c r="W10" s="10">
        <f>'Buffer Trapping Line'!S8*(1-EXP(-'Buffer Trapping Line'!T8*15.24))</f>
        <v>30.101205342791257</v>
      </c>
      <c r="X10" s="13">
        <f t="shared" si="14"/>
        <v>1.178938943285587</v>
      </c>
      <c r="Y10" s="13">
        <f t="shared" si="15"/>
        <v>7.7914037802107483E-2</v>
      </c>
      <c r="Z10" s="13">
        <f t="shared" si="16"/>
        <v>0.91147788096862792</v>
      </c>
      <c r="AA10" s="13">
        <f t="shared" si="17"/>
        <v>4.4458154134920103E-2</v>
      </c>
      <c r="AB10" s="13">
        <f t="shared" si="18"/>
        <v>0.63804403197678772</v>
      </c>
      <c r="AC10" s="13">
        <f t="shared" si="19"/>
        <v>4.3223205408950138E-2</v>
      </c>
      <c r="AD10" s="10">
        <f t="shared" si="20"/>
        <v>2.8141067476263886</v>
      </c>
      <c r="AE10" s="10">
        <f t="shared" si="21"/>
        <v>0.20890236507897136</v>
      </c>
      <c r="AF10" s="10">
        <f t="shared" si="22"/>
        <v>2.1756818448948896</v>
      </c>
      <c r="AG10" s="10">
        <f t="shared" si="23"/>
        <v>0.11920077315745342</v>
      </c>
      <c r="AH10" s="10">
        <f t="shared" si="24"/>
        <v>1.5230000042789971</v>
      </c>
      <c r="AI10" s="10">
        <f t="shared" si="25"/>
        <v>0.11588964056974638</v>
      </c>
      <c r="AJ10" s="53"/>
      <c r="AK10" s="53"/>
      <c r="AL10" s="6">
        <f t="shared" si="26"/>
        <v>21.650305961250073</v>
      </c>
      <c r="AM10" s="6">
        <f t="shared" si="27"/>
        <v>30.028597717963461</v>
      </c>
      <c r="AN10" s="6">
        <f t="shared" si="28"/>
        <v>51.678903679213533</v>
      </c>
      <c r="AO10" s="6">
        <f t="shared" si="29"/>
        <v>11.226806599727302</v>
      </c>
      <c r="AP10" s="6">
        <f t="shared" si="30"/>
        <v>18.874398743063956</v>
      </c>
      <c r="AQ10" s="6">
        <f t="shared" si="31"/>
        <v>30.101205342791257</v>
      </c>
      <c r="AR10" s="40">
        <f t="shared" si="32"/>
        <v>22.686591518604992</v>
      </c>
      <c r="AS10">
        <f t="shared" si="33"/>
        <v>29.998956058183435</v>
      </c>
      <c r="AT10">
        <f t="shared" si="34"/>
        <v>45.879806956022549</v>
      </c>
      <c r="AU10">
        <f t="shared" si="35"/>
        <v>42.939481268011527</v>
      </c>
      <c r="AV10">
        <f t="shared" si="36"/>
        <v>2.777777777777779</v>
      </c>
      <c r="AW10">
        <f t="shared" si="37"/>
        <v>44.524495677233432</v>
      </c>
    </row>
    <row r="11" spans="1:49" x14ac:dyDescent="0.25">
      <c r="A11" s="1" t="s">
        <v>89</v>
      </c>
      <c r="B11" s="34">
        <f>D11*C_factor!E9</f>
        <v>5.8829573079627666</v>
      </c>
      <c r="C11" s="35">
        <f>'P Index Results'!B10/10</f>
        <v>0.89700000000000002</v>
      </c>
      <c r="D11" s="38">
        <v>5.01</v>
      </c>
      <c r="E11" s="35">
        <f>'P Index Results'!C10/10</f>
        <v>0.51400000000000001</v>
      </c>
      <c r="F11" s="34">
        <f>D11*C_factor!F9</f>
        <v>3.3771206563155802</v>
      </c>
      <c r="G11" s="35">
        <f>'P Index Results'!D10/10</f>
        <v>0.503</v>
      </c>
      <c r="H11" s="22">
        <f t="shared" si="0"/>
        <v>4.6092790512191071</v>
      </c>
      <c r="I11" s="23">
        <f t="shared" si="1"/>
        <v>0.79629554480044618</v>
      </c>
      <c r="J11" s="22">
        <f t="shared" si="2"/>
        <v>3.9253196713413714</v>
      </c>
      <c r="K11" s="23">
        <f t="shared" si="3"/>
        <v>0.45629421407740167</v>
      </c>
      <c r="L11" s="22">
        <f t="shared" si="4"/>
        <v>2.6459637015426805</v>
      </c>
      <c r="M11" s="23">
        <f t="shared" si="5"/>
        <v>0.44652916280337168</v>
      </c>
      <c r="N11" s="13">
        <f>'Buffer Trapping Line'!V9*(1-EXP(-'Buffer Trapping Line'!W9*5.03))</f>
        <v>21.650305961250073</v>
      </c>
      <c r="O11" s="13">
        <f>'Buffer Trapping Line'!S9*(1-EXP(-'Buffer Trapping Line'!T9*5.03))</f>
        <v>11.226806599727302</v>
      </c>
      <c r="P11" s="28">
        <f t="shared" si="6"/>
        <v>2.842709467291435</v>
      </c>
      <c r="Q11" s="29">
        <f t="shared" si="7"/>
        <v>0.62699218807516244</v>
      </c>
      <c r="R11" s="28">
        <f t="shared" si="8"/>
        <v>2.4208869256714021</v>
      </c>
      <c r="S11" s="29">
        <f t="shared" si="9"/>
        <v>0.35927980453805292</v>
      </c>
      <c r="T11" s="28">
        <f t="shared" si="10"/>
        <v>1.6318617252074277</v>
      </c>
      <c r="U11" s="29">
        <f t="shared" si="11"/>
        <v>0.35159093712575995</v>
      </c>
      <c r="V11" s="10">
        <f>'Buffer Trapping Line'!V9*(1-EXP(-'Buffer Trapping Line'!W9*15.24))</f>
        <v>51.678903679213533</v>
      </c>
      <c r="W11" s="10">
        <f>'Buffer Trapping Line'!S9*(1-EXP(-'Buffer Trapping Line'!T9*15.24))</f>
        <v>30.101205342791257</v>
      </c>
      <c r="X11" s="13">
        <f t="shared" si="14"/>
        <v>1.2736782567436595</v>
      </c>
      <c r="Y11" s="13">
        <f t="shared" si="15"/>
        <v>0.10070445519955384</v>
      </c>
      <c r="Z11" s="13">
        <f t="shared" si="16"/>
        <v>1.0846803286586284</v>
      </c>
      <c r="AA11" s="13">
        <f t="shared" si="17"/>
        <v>5.770578592259834E-2</v>
      </c>
      <c r="AB11" s="13">
        <f t="shared" si="18"/>
        <v>0.73115695477289977</v>
      </c>
      <c r="AC11" s="13">
        <f t="shared" si="19"/>
        <v>5.6470837196628321E-2</v>
      </c>
      <c r="AD11" s="10">
        <f t="shared" si="20"/>
        <v>3.0402478406713316</v>
      </c>
      <c r="AE11" s="10">
        <f t="shared" si="21"/>
        <v>0.27000781192483758</v>
      </c>
      <c r="AF11" s="10">
        <f t="shared" si="22"/>
        <v>2.5891130743285977</v>
      </c>
      <c r="AG11" s="10">
        <f t="shared" si="23"/>
        <v>0.1547201954619471</v>
      </c>
      <c r="AH11" s="10">
        <f t="shared" si="24"/>
        <v>1.7452589311081526</v>
      </c>
      <c r="AI11" s="10">
        <f t="shared" si="25"/>
        <v>0.15140906287424005</v>
      </c>
      <c r="AJ11" s="53"/>
      <c r="AK11" s="53"/>
      <c r="AL11" s="6">
        <f t="shared" si="26"/>
        <v>21.650305961250073</v>
      </c>
      <c r="AM11" s="6">
        <f t="shared" si="27"/>
        <v>30.028597717963461</v>
      </c>
      <c r="AN11" s="6">
        <f t="shared" si="28"/>
        <v>51.678903679213533</v>
      </c>
      <c r="AO11" s="6">
        <f t="shared" si="29"/>
        <v>11.226806599727302</v>
      </c>
      <c r="AP11" s="6">
        <f t="shared" si="30"/>
        <v>18.874398743063956</v>
      </c>
      <c r="AQ11" s="6">
        <f t="shared" si="31"/>
        <v>30.101205342791257</v>
      </c>
      <c r="AR11" s="40">
        <f t="shared" si="32"/>
        <v>14.838749667300688</v>
      </c>
      <c r="AS11">
        <f t="shared" si="33"/>
        <v>32.592402069549294</v>
      </c>
      <c r="AT11">
        <f t="shared" si="34"/>
        <v>42.594846783189432</v>
      </c>
      <c r="AU11">
        <f t="shared" si="35"/>
        <v>42.697881828316611</v>
      </c>
      <c r="AV11">
        <f t="shared" si="36"/>
        <v>2.1400778210116767</v>
      </c>
      <c r="AW11">
        <f t="shared" si="37"/>
        <v>43.924191750278709</v>
      </c>
    </row>
    <row r="12" spans="1:49" x14ac:dyDescent="0.25">
      <c r="A12" s="1" t="s">
        <v>26</v>
      </c>
      <c r="B12" s="34">
        <f>D12*C_factor!E10</f>
        <v>4.585961134098115</v>
      </c>
      <c r="C12" s="35">
        <f>'P Index Results'!B11/10</f>
        <v>0.84499999999999997</v>
      </c>
      <c r="D12" s="38">
        <v>4.3899999999999997</v>
      </c>
      <c r="E12" s="35">
        <f>'P Index Results'!C11/10</f>
        <v>0.47199999999999998</v>
      </c>
      <c r="F12" s="34">
        <f>D12*C_factor!F10</f>
        <v>3.643883915453396</v>
      </c>
      <c r="G12" s="35">
        <f>'P Index Results'!D11/10</f>
        <v>0.47699999999999998</v>
      </c>
      <c r="H12" s="22">
        <f t="shared" si="0"/>
        <v>4.0711041468342586</v>
      </c>
      <c r="I12" s="23">
        <f t="shared" si="1"/>
        <v>0.78612462659139715</v>
      </c>
      <c r="J12" s="22">
        <f t="shared" si="2"/>
        <v>3.8971431902719713</v>
      </c>
      <c r="K12" s="23">
        <f t="shared" si="3"/>
        <v>0.43911340088892242</v>
      </c>
      <c r="L12" s="22">
        <f t="shared" si="4"/>
        <v>3.2347921155468726</v>
      </c>
      <c r="M12" s="23">
        <f t="shared" si="5"/>
        <v>0.44376502589833899</v>
      </c>
      <c r="N12" s="13">
        <f>'Buffer Trapping Line'!V10*(1-EXP(-'Buffer Trapping Line'!W10*5.03))</f>
        <v>11.226806599727302</v>
      </c>
      <c r="O12" s="13">
        <f>'Buffer Trapping Line'!S10*(1-EXP(-'Buffer Trapping Line'!T10*5.03))</f>
        <v>6.9674998116689739</v>
      </c>
      <c r="P12" s="28">
        <f t="shared" si="6"/>
        <v>3.2055315561826427</v>
      </c>
      <c r="Q12" s="29">
        <f t="shared" si="7"/>
        <v>0.69503618783598609</v>
      </c>
      <c r="R12" s="28">
        <f t="shared" si="8"/>
        <v>3.0685570854514634</v>
      </c>
      <c r="S12" s="29">
        <f t="shared" si="9"/>
        <v>0.38823323154862183</v>
      </c>
      <c r="T12" s="28">
        <f t="shared" si="10"/>
        <v>2.5470309356098269</v>
      </c>
      <c r="U12" s="29">
        <f t="shared" si="11"/>
        <v>0.3923458717133318</v>
      </c>
      <c r="V12" s="10">
        <f>'Buffer Trapping Line'!V10*(1-EXP(-'Buffer Trapping Line'!W10*15.24))</f>
        <v>30.101205342791257</v>
      </c>
      <c r="W12" s="10">
        <f>'Buffer Trapping Line'!S10*(1-EXP(-'Buffer Trapping Line'!T10*15.24))</f>
        <v>17.747196705800455</v>
      </c>
      <c r="X12" s="13">
        <f t="shared" si="14"/>
        <v>0.51485698726385642</v>
      </c>
      <c r="Y12" s="13">
        <f t="shared" si="15"/>
        <v>5.8875373408602827E-2</v>
      </c>
      <c r="Z12" s="13">
        <f t="shared" si="16"/>
        <v>0.49285680972802837</v>
      </c>
      <c r="AA12" s="13">
        <f t="shared" si="17"/>
        <v>3.2886599111077552E-2</v>
      </c>
      <c r="AB12" s="13">
        <f t="shared" si="18"/>
        <v>0.40909179990652333</v>
      </c>
      <c r="AC12" s="13">
        <f t="shared" si="19"/>
        <v>3.3234974101660986E-2</v>
      </c>
      <c r="AD12" s="10">
        <f t="shared" si="20"/>
        <v>1.3804295779154723</v>
      </c>
      <c r="AE12" s="10">
        <f t="shared" si="21"/>
        <v>0.14996381216401389</v>
      </c>
      <c r="AF12" s="10">
        <f t="shared" si="22"/>
        <v>1.3214429145485362</v>
      </c>
      <c r="AG12" s="10">
        <f t="shared" si="23"/>
        <v>8.3766768451378149E-2</v>
      </c>
      <c r="AH12" s="10">
        <f t="shared" si="24"/>
        <v>1.0968529798435691</v>
      </c>
      <c r="AI12" s="10">
        <f t="shared" si="25"/>
        <v>8.4654128286668184E-2</v>
      </c>
      <c r="AJ12" s="53"/>
      <c r="AK12" s="53"/>
      <c r="AL12" s="6">
        <f t="shared" si="26"/>
        <v>11.226806599727302</v>
      </c>
      <c r="AM12" s="6">
        <f t="shared" si="27"/>
        <v>18.874398743063956</v>
      </c>
      <c r="AN12" s="6">
        <f t="shared" si="28"/>
        <v>30.101205342791257</v>
      </c>
      <c r="AO12" s="6">
        <f t="shared" si="29"/>
        <v>6.9674998116689739</v>
      </c>
      <c r="AP12" s="6">
        <f t="shared" si="30"/>
        <v>10.779696894131481</v>
      </c>
      <c r="AQ12" s="6">
        <f t="shared" si="31"/>
        <v>17.747196705800455</v>
      </c>
      <c r="AR12" s="40">
        <f t="shared" si="32"/>
        <v>4.2730657405942729</v>
      </c>
      <c r="AS12">
        <f t="shared" si="33"/>
        <v>16.995810581927195</v>
      </c>
      <c r="AT12">
        <f t="shared" si="34"/>
        <v>20.542634163208838</v>
      </c>
      <c r="AU12">
        <f t="shared" si="35"/>
        <v>44.142011834319526</v>
      </c>
      <c r="AV12">
        <f t="shared" si="36"/>
        <v>-1.0593220338983134</v>
      </c>
      <c r="AW12">
        <f t="shared" si="37"/>
        <v>43.550295857988161</v>
      </c>
    </row>
    <row r="13" spans="1:49" x14ac:dyDescent="0.25">
      <c r="A13" s="1" t="s">
        <v>27</v>
      </c>
      <c r="B13" s="34">
        <f>D13*C_factor!E11</f>
        <v>8.5021079033990983</v>
      </c>
      <c r="C13" s="35">
        <f>'P Index Results'!B12/10</f>
        <v>0.91700000000000004</v>
      </c>
      <c r="D13" s="38">
        <v>6.16</v>
      </c>
      <c r="E13" s="35">
        <f>'P Index Results'!C12/10</f>
        <v>0.54900000000000004</v>
      </c>
      <c r="F13" s="34">
        <f>D13*C_factor!F11</f>
        <v>4.5662405837813997</v>
      </c>
      <c r="G13" s="35">
        <f>'P Index Results'!D12/10</f>
        <v>0.53800000000000003</v>
      </c>
      <c r="H13" s="22">
        <f t="shared" si="0"/>
        <v>7.5475926921843515</v>
      </c>
      <c r="I13" s="23">
        <f t="shared" si="1"/>
        <v>0.85310802672699548</v>
      </c>
      <c r="J13" s="22">
        <f t="shared" si="2"/>
        <v>5.4684287134567979</v>
      </c>
      <c r="K13" s="23">
        <f t="shared" si="3"/>
        <v>0.51074842603393733</v>
      </c>
      <c r="L13" s="22">
        <f t="shared" si="4"/>
        <v>4.0535975845620031</v>
      </c>
      <c r="M13" s="23">
        <f t="shared" si="5"/>
        <v>0.50051485101322091</v>
      </c>
      <c r="N13" s="13">
        <f>'Buffer Trapping Line'!V11*(1-EXP(-'Buffer Trapping Line'!W11*5.03))</f>
        <v>11.226806599727302</v>
      </c>
      <c r="O13" s="13">
        <f>'Buffer Trapping Line'!S11*(1-EXP(-'Buffer Trapping Line'!T11*5.03))</f>
        <v>6.9674998116689739</v>
      </c>
      <c r="P13" s="28">
        <f t="shared" si="6"/>
        <v>5.9428709449312507</v>
      </c>
      <c r="Q13" s="29">
        <f t="shared" si="7"/>
        <v>0.75425820620780981</v>
      </c>
      <c r="R13" s="28">
        <f t="shared" si="8"/>
        <v>4.3057657508840581</v>
      </c>
      <c r="S13" s="29">
        <f t="shared" si="9"/>
        <v>0.45156789008515552</v>
      </c>
      <c r="T13" s="28">
        <f t="shared" si="10"/>
        <v>3.1917471292114903</v>
      </c>
      <c r="U13" s="29">
        <f t="shared" si="11"/>
        <v>0.44252008172279356</v>
      </c>
      <c r="V13" s="10">
        <f>'Buffer Trapping Line'!V11*(1-EXP(-'Buffer Trapping Line'!W11*15.24))</f>
        <v>30.101205342791257</v>
      </c>
      <c r="W13" s="10">
        <f>'Buffer Trapping Line'!S11*(1-EXP(-'Buffer Trapping Line'!T11*15.24))</f>
        <v>17.747196705800455</v>
      </c>
      <c r="X13" s="13">
        <f t="shared" si="14"/>
        <v>0.95451521121474681</v>
      </c>
      <c r="Y13" s="13">
        <f t="shared" si="15"/>
        <v>6.3891973273004554E-2</v>
      </c>
      <c r="Z13" s="13">
        <f t="shared" si="16"/>
        <v>0.69157128654320221</v>
      </c>
      <c r="AA13" s="13">
        <f t="shared" si="17"/>
        <v>3.8251573966062713E-2</v>
      </c>
      <c r="AB13" s="13">
        <f t="shared" si="18"/>
        <v>0.5126429992193966</v>
      </c>
      <c r="AC13" s="13">
        <f t="shared" si="19"/>
        <v>3.7485148986779127E-2</v>
      </c>
      <c r="AD13" s="10">
        <f t="shared" si="20"/>
        <v>2.5592369584678476</v>
      </c>
      <c r="AE13" s="10">
        <f t="shared" si="21"/>
        <v>0.16274179379219023</v>
      </c>
      <c r="AF13" s="10">
        <f t="shared" si="22"/>
        <v>1.854234249115942</v>
      </c>
      <c r="AG13" s="10">
        <f t="shared" si="23"/>
        <v>9.7432109914844522E-2</v>
      </c>
      <c r="AH13" s="10">
        <f t="shared" si="24"/>
        <v>1.3744934545699095</v>
      </c>
      <c r="AI13" s="10">
        <f t="shared" si="25"/>
        <v>9.5479918277206477E-2</v>
      </c>
      <c r="AJ13" s="53"/>
      <c r="AK13" s="53"/>
      <c r="AL13" s="6">
        <f t="shared" si="26"/>
        <v>11.226806599727302</v>
      </c>
      <c r="AM13" s="6">
        <f t="shared" si="27"/>
        <v>18.874398743063956</v>
      </c>
      <c r="AN13" s="6">
        <f t="shared" si="28"/>
        <v>30.101205342791257</v>
      </c>
      <c r="AO13" s="6">
        <f t="shared" si="29"/>
        <v>6.9674998116689739</v>
      </c>
      <c r="AP13" s="6">
        <f t="shared" si="30"/>
        <v>10.779696894131481</v>
      </c>
      <c r="AQ13" s="6">
        <f t="shared" si="31"/>
        <v>17.747196705800455</v>
      </c>
      <c r="AR13" s="40">
        <f t="shared" si="32"/>
        <v>27.547379191256038</v>
      </c>
      <c r="AS13">
        <f t="shared" si="33"/>
        <v>25.872717795756493</v>
      </c>
      <c r="AT13">
        <f t="shared" si="34"/>
        <v>46.292841308731916</v>
      </c>
      <c r="AU13">
        <f t="shared" si="35"/>
        <v>40.130861504907301</v>
      </c>
      <c r="AV13">
        <f t="shared" si="36"/>
        <v>2.0036429872495432</v>
      </c>
      <c r="AW13">
        <f t="shared" si="37"/>
        <v>41.330425299890948</v>
      </c>
    </row>
    <row r="14" spans="1:49" x14ac:dyDescent="0.25">
      <c r="A14" s="1" t="s">
        <v>28</v>
      </c>
      <c r="B14" s="34">
        <f>D14*C_factor!E12</f>
        <v>1.2347843910974303</v>
      </c>
      <c r="C14" s="35">
        <f>'P Index Results'!B13/10</f>
        <v>0.38200000000000001</v>
      </c>
      <c r="D14" s="38">
        <v>1.23</v>
      </c>
      <c r="E14" s="35">
        <f>'P Index Results'!C13/10</f>
        <v>0.16999999999999998</v>
      </c>
      <c r="F14" s="34">
        <f>D14*C_factor!F12</f>
        <v>1.1979283583795115</v>
      </c>
      <c r="G14" s="35">
        <f>'P Index Results'!D13/10</f>
        <v>0.185</v>
      </c>
      <c r="H14" s="22">
        <f t="shared" si="0"/>
        <v>0</v>
      </c>
      <c r="I14" s="23">
        <f t="shared" si="1"/>
        <v>8.8083229380316458E-2</v>
      </c>
      <c r="J14" s="22">
        <f t="shared" si="2"/>
        <v>0</v>
      </c>
      <c r="K14" s="23">
        <f t="shared" si="3"/>
        <v>3.9199342917941873E-2</v>
      </c>
      <c r="L14" s="22">
        <f t="shared" si="4"/>
        <v>0</v>
      </c>
      <c r="M14" s="23">
        <f t="shared" si="5"/>
        <v>4.2658108469524982E-2</v>
      </c>
      <c r="N14" s="13">
        <f>'Buffer Trapping Line'!V12*(1-EXP(-'Buffer Trapping Line'!W12*5.03))</f>
        <v>100</v>
      </c>
      <c r="O14" s="13">
        <f>'Buffer Trapping Line'!S12*(1-EXP(-'Buffer Trapping Line'!T12*5.03))</f>
        <v>76.941562989445956</v>
      </c>
      <c r="P14" s="28">
        <f t="shared" si="6"/>
        <v>0</v>
      </c>
      <c r="Q14" s="29">
        <f t="shared" si="7"/>
        <v>1.4572081031551101E-2</v>
      </c>
      <c r="R14" s="28">
        <f t="shared" si="8"/>
        <v>0</v>
      </c>
      <c r="S14" s="29">
        <f t="shared" si="9"/>
        <v>6.48495752713007E-3</v>
      </c>
      <c r="T14" s="28">
        <f t="shared" si="10"/>
        <v>0</v>
      </c>
      <c r="U14" s="29">
        <f t="shared" si="11"/>
        <v>7.0571596618768419E-3</v>
      </c>
      <c r="V14" s="10">
        <f>'Buffer Trapping Line'!V12*(1-EXP(-'Buffer Trapping Line'!W12*15.24))</f>
        <v>100</v>
      </c>
      <c r="W14" s="10">
        <f>'Buffer Trapping Line'!S12*(1-EXP(-'Buffer Trapping Line'!T12*15.24))</f>
        <v>96.185319101688194</v>
      </c>
      <c r="X14" s="13">
        <f t="shared" si="14"/>
        <v>1.2347843910974303</v>
      </c>
      <c r="Y14" s="13">
        <f t="shared" si="15"/>
        <v>0.29391677061968358</v>
      </c>
      <c r="Z14" s="13">
        <f t="shared" si="16"/>
        <v>1.23</v>
      </c>
      <c r="AA14" s="13">
        <f t="shared" si="17"/>
        <v>0.13080065708205812</v>
      </c>
      <c r="AB14" s="13">
        <f t="shared" si="18"/>
        <v>1.1979283583795115</v>
      </c>
      <c r="AC14" s="13">
        <f t="shared" si="19"/>
        <v>0.14234189153047502</v>
      </c>
      <c r="AD14" s="10">
        <f t="shared" si="20"/>
        <v>1.2347843910974303</v>
      </c>
      <c r="AE14" s="10">
        <f t="shared" si="21"/>
        <v>0.3674279189684489</v>
      </c>
      <c r="AF14" s="10">
        <f t="shared" si="22"/>
        <v>1.23</v>
      </c>
      <c r="AG14" s="10">
        <f t="shared" si="23"/>
        <v>0.16351504247286991</v>
      </c>
      <c r="AH14" s="10">
        <f t="shared" si="24"/>
        <v>1.1979283583795115</v>
      </c>
      <c r="AI14" s="10">
        <f t="shared" si="25"/>
        <v>0.17794284033812316</v>
      </c>
      <c r="AJ14" s="53"/>
      <c r="AK14" s="53"/>
      <c r="AL14" s="6">
        <f t="shared" si="26"/>
        <v>100</v>
      </c>
      <c r="AM14" s="6">
        <f t="shared" si="27"/>
        <v>0</v>
      </c>
      <c r="AN14" s="6">
        <f t="shared" si="28"/>
        <v>100</v>
      </c>
      <c r="AO14" s="6">
        <f t="shared" si="29"/>
        <v>76.941562989445956</v>
      </c>
      <c r="AP14" s="6">
        <f t="shared" si="30"/>
        <v>19.243756112242238</v>
      </c>
      <c r="AQ14" s="6">
        <f t="shared" si="31"/>
        <v>96.185319101688194</v>
      </c>
      <c r="AR14" s="40">
        <f t="shared" si="32"/>
        <v>0.38746773379424448</v>
      </c>
      <c r="AS14">
        <f t="shared" si="33"/>
        <v>2.6074505382510993</v>
      </c>
      <c r="AT14">
        <f t="shared" si="34"/>
        <v>2.9848152425349772</v>
      </c>
      <c r="AU14">
        <f t="shared" si="35"/>
        <v>55.497382198952884</v>
      </c>
      <c r="AV14">
        <f t="shared" si="36"/>
        <v>-8.8235294117647189</v>
      </c>
      <c r="AW14">
        <f t="shared" si="37"/>
        <v>51.570680628272257</v>
      </c>
    </row>
    <row r="15" spans="1:49" x14ac:dyDescent="0.25">
      <c r="A15" s="1" t="s">
        <v>29</v>
      </c>
      <c r="B15" s="34">
        <f>D15*C_factor!E13</f>
        <v>6.5577265078627072</v>
      </c>
      <c r="C15" s="35">
        <f>'P Index Results'!B14/10</f>
        <v>0.98299999999999998</v>
      </c>
      <c r="D15" s="38">
        <v>5.24</v>
      </c>
      <c r="E15" s="35">
        <f>'P Index Results'!C14/10</f>
        <v>0.52800000000000002</v>
      </c>
      <c r="F15" s="34">
        <f>D15*C_factor!F13</f>
        <v>3.5188055510556269</v>
      </c>
      <c r="G15" s="35">
        <f>'P Index Results'!D14/10</f>
        <v>0.496</v>
      </c>
      <c r="H15" s="22">
        <f t="shared" si="0"/>
        <v>5.1379586548084317</v>
      </c>
      <c r="I15" s="23">
        <f t="shared" si="1"/>
        <v>0.87264049112468056</v>
      </c>
      <c r="J15" s="22">
        <f t="shared" si="2"/>
        <v>4.1055239676304964</v>
      </c>
      <c r="K15" s="23">
        <f t="shared" si="3"/>
        <v>0.46872246115343985</v>
      </c>
      <c r="L15" s="22">
        <f t="shared" si="4"/>
        <v>2.756973383070632</v>
      </c>
      <c r="M15" s="23">
        <f t="shared" si="5"/>
        <v>0.44031503926535259</v>
      </c>
      <c r="N15" s="13">
        <f>'Buffer Trapping Line'!V13*(1-EXP(-'Buffer Trapping Line'!W13*5.03))</f>
        <v>21.650305961250073</v>
      </c>
      <c r="O15" s="13">
        <f>'Buffer Trapping Line'!S13*(1-EXP(-'Buffer Trapping Line'!T13*5.03))</f>
        <v>11.226806599727302</v>
      </c>
      <c r="P15" s="28">
        <f t="shared" si="6"/>
        <v>3.1687653423180855</v>
      </c>
      <c r="Q15" s="29">
        <f t="shared" si="7"/>
        <v>0.68710515148036189</v>
      </c>
      <c r="R15" s="28">
        <f t="shared" si="8"/>
        <v>2.532025447209211</v>
      </c>
      <c r="S15" s="29">
        <f t="shared" si="9"/>
        <v>0.36906563579006219</v>
      </c>
      <c r="T15" s="28">
        <f t="shared" si="10"/>
        <v>1.7003254196667705</v>
      </c>
      <c r="U15" s="29">
        <f t="shared" si="11"/>
        <v>0.34669802149975537</v>
      </c>
      <c r="V15" s="10">
        <f>'Buffer Trapping Line'!V13*(1-EXP(-'Buffer Trapping Line'!W13*15.24))</f>
        <v>51.678903679213533</v>
      </c>
      <c r="W15" s="10">
        <f>'Buffer Trapping Line'!S13*(1-EXP(-'Buffer Trapping Line'!T13*15.24))</f>
        <v>30.101205342791257</v>
      </c>
      <c r="X15" s="13">
        <f t="shared" si="14"/>
        <v>1.4197678530542754</v>
      </c>
      <c r="Y15" s="13">
        <f t="shared" si="15"/>
        <v>0.11035950887531942</v>
      </c>
      <c r="Z15" s="13">
        <f t="shared" si="16"/>
        <v>1.1344760323695038</v>
      </c>
      <c r="AA15" s="13">
        <f t="shared" si="17"/>
        <v>5.9277538846560174E-2</v>
      </c>
      <c r="AB15" s="13">
        <f t="shared" si="18"/>
        <v>0.76183216798499487</v>
      </c>
      <c r="AC15" s="13">
        <f t="shared" si="19"/>
        <v>5.5684960734647404E-2</v>
      </c>
      <c r="AD15" s="10">
        <f t="shared" si="20"/>
        <v>3.3889611655446217</v>
      </c>
      <c r="AE15" s="10">
        <f t="shared" si="21"/>
        <v>0.2958948485196381</v>
      </c>
      <c r="AF15" s="10">
        <f t="shared" si="22"/>
        <v>2.7079745527907892</v>
      </c>
      <c r="AG15" s="10">
        <f t="shared" si="23"/>
        <v>0.15893436420993784</v>
      </c>
      <c r="AH15" s="10">
        <f t="shared" si="24"/>
        <v>1.8184801313888563</v>
      </c>
      <c r="AI15" s="10">
        <f t="shared" si="25"/>
        <v>0.14930197850024463</v>
      </c>
      <c r="AJ15" s="53"/>
      <c r="AK15" s="53"/>
      <c r="AL15" s="6">
        <f t="shared" si="26"/>
        <v>21.650305961250073</v>
      </c>
      <c r="AM15" s="6">
        <f t="shared" si="27"/>
        <v>30.028597717963461</v>
      </c>
      <c r="AN15" s="6">
        <f t="shared" si="28"/>
        <v>51.678903679213533</v>
      </c>
      <c r="AO15" s="6">
        <f t="shared" si="29"/>
        <v>11.226806599727302</v>
      </c>
      <c r="AP15" s="6">
        <f t="shared" si="30"/>
        <v>18.874398743063956</v>
      </c>
      <c r="AQ15" s="6">
        <f t="shared" si="31"/>
        <v>30.101205342791257</v>
      </c>
      <c r="AR15" s="40">
        <f t="shared" si="32"/>
        <v>20.094258372665497</v>
      </c>
      <c r="AS15">
        <f t="shared" si="33"/>
        <v>32.847222308098722</v>
      </c>
      <c r="AT15">
        <f t="shared" si="34"/>
        <v>46.341074961931049</v>
      </c>
      <c r="AU15">
        <f t="shared" si="35"/>
        <v>46.286876907426247</v>
      </c>
      <c r="AV15">
        <f t="shared" si="36"/>
        <v>6.0606060606060659</v>
      </c>
      <c r="AW15">
        <f t="shared" si="37"/>
        <v>49.542217700915572</v>
      </c>
    </row>
    <row r="16" spans="1:49" x14ac:dyDescent="0.25">
      <c r="A16" s="1" t="s">
        <v>30</v>
      </c>
      <c r="B16" s="34">
        <f>D16*C_factor!E14</f>
        <v>2.1005395243899505</v>
      </c>
      <c r="C16" s="35">
        <f>'P Index Results'!B15/10</f>
        <v>0.61599999999999999</v>
      </c>
      <c r="D16" s="38">
        <v>2.08</v>
      </c>
      <c r="E16" s="35">
        <f>'P Index Results'!C15/10</f>
        <v>0.29700000000000004</v>
      </c>
      <c r="F16" s="34">
        <f>D16*C_factor!F14</f>
        <v>1.9462383465080284</v>
      </c>
      <c r="G16" s="35">
        <f>'P Index Results'!D15/10</f>
        <v>0.30399999999999999</v>
      </c>
      <c r="H16" s="22">
        <f t="shared" si="0"/>
        <v>1.2300773257847486</v>
      </c>
      <c r="I16" s="23">
        <f t="shared" si="1"/>
        <v>0.48263411527869954</v>
      </c>
      <c r="J16" s="22">
        <f t="shared" si="2"/>
        <v>1.2180493668051058</v>
      </c>
      <c r="K16" s="23">
        <f t="shared" si="3"/>
        <v>0.23269859129508733</v>
      </c>
      <c r="L16" s="22">
        <f t="shared" si="4"/>
        <v>1.1397184546230383</v>
      </c>
      <c r="M16" s="23">
        <f t="shared" si="5"/>
        <v>0.23818306987779977</v>
      </c>
      <c r="N16" s="13">
        <f>'Buffer Trapping Line'!V14*(1-EXP(-'Buffer Trapping Line'!W14*5.03))</f>
        <v>41.439934288216072</v>
      </c>
      <c r="O16" s="13">
        <f>'Buffer Trapping Line'!S14*(1-EXP(-'Buffer Trapping Line'!T14*5.03))</f>
        <v>21.650305961250073</v>
      </c>
      <c r="P16" s="28">
        <f t="shared" si="6"/>
        <v>0.43694574465914943</v>
      </c>
      <c r="Q16" s="29">
        <f t="shared" si="7"/>
        <v>0.29765795333604461</v>
      </c>
      <c r="R16" s="28">
        <f t="shared" si="8"/>
        <v>0.43267319578525087</v>
      </c>
      <c r="S16" s="29">
        <f t="shared" si="9"/>
        <v>0.14351365607273583</v>
      </c>
      <c r="T16" s="28">
        <f t="shared" si="10"/>
        <v>0.40484863708818802</v>
      </c>
      <c r="U16" s="29">
        <f t="shared" si="11"/>
        <v>0.14689613281519084</v>
      </c>
      <c r="V16" s="10">
        <f>'Buffer Trapping Line'!V14*(1-EXP(-'Buffer Trapping Line'!W14*15.24))</f>
        <v>79.198404048786017</v>
      </c>
      <c r="W16" s="10">
        <f>'Buffer Trapping Line'!S14*(1-EXP(-'Buffer Trapping Line'!T14*15.24))</f>
        <v>51.678903679213533</v>
      </c>
      <c r="X16" s="13">
        <f t="shared" si="14"/>
        <v>0.87046219860520191</v>
      </c>
      <c r="Y16" s="13">
        <f t="shared" si="15"/>
        <v>0.13336588472130045</v>
      </c>
      <c r="Z16" s="13">
        <f t="shared" si="16"/>
        <v>0.86195063319489429</v>
      </c>
      <c r="AA16" s="13">
        <f t="shared" si="17"/>
        <v>6.4301408704912716E-2</v>
      </c>
      <c r="AB16" s="13">
        <f t="shared" si="18"/>
        <v>0.80651989188499007</v>
      </c>
      <c r="AC16" s="13">
        <f t="shared" si="19"/>
        <v>6.5816930122200218E-2</v>
      </c>
      <c r="AD16" s="10">
        <f t="shared" si="20"/>
        <v>1.6635937797308011</v>
      </c>
      <c r="AE16" s="10">
        <f t="shared" si="21"/>
        <v>0.31834204666395538</v>
      </c>
      <c r="AF16" s="10">
        <f t="shared" si="22"/>
        <v>1.6473268042147491</v>
      </c>
      <c r="AG16" s="10">
        <f t="shared" si="23"/>
        <v>0.15348634392726421</v>
      </c>
      <c r="AH16" s="10">
        <f t="shared" si="24"/>
        <v>1.5413897094198403</v>
      </c>
      <c r="AI16" s="10">
        <f t="shared" si="25"/>
        <v>0.15710386718480915</v>
      </c>
      <c r="AJ16" s="53"/>
      <c r="AK16" s="53"/>
      <c r="AL16" s="6">
        <f t="shared" si="26"/>
        <v>41.439934288216072</v>
      </c>
      <c r="AM16" s="6">
        <f t="shared" si="27"/>
        <v>37.758469760569945</v>
      </c>
      <c r="AN16" s="6">
        <f t="shared" si="28"/>
        <v>79.198404048786017</v>
      </c>
      <c r="AO16" s="6">
        <f t="shared" si="29"/>
        <v>21.650305961250073</v>
      </c>
      <c r="AP16" s="6">
        <f t="shared" si="30"/>
        <v>30.028597717963461</v>
      </c>
      <c r="AQ16" s="6">
        <f t="shared" si="31"/>
        <v>51.678903679213533</v>
      </c>
      <c r="AR16" s="40">
        <f t="shared" si="32"/>
        <v>0.97782137167429228</v>
      </c>
      <c r="AS16">
        <f t="shared" si="33"/>
        <v>6.4308487255755553</v>
      </c>
      <c r="AT16">
        <f t="shared" si="34"/>
        <v>7.3457878840311297</v>
      </c>
      <c r="AU16">
        <f t="shared" si="35"/>
        <v>51.785714285714278</v>
      </c>
      <c r="AV16">
        <f t="shared" si="36"/>
        <v>-2.3569023569023351</v>
      </c>
      <c r="AW16">
        <f t="shared" si="37"/>
        <v>50.649350649350652</v>
      </c>
    </row>
    <row r="17" spans="1:49" x14ac:dyDescent="0.25">
      <c r="A17" s="1" t="s">
        <v>90</v>
      </c>
      <c r="B17" s="34">
        <f>D17*C_factor!E15</f>
        <v>6.6632150657730485</v>
      </c>
      <c r="C17" s="35">
        <f>'P Index Results'!B16/10</f>
        <v>0.623</v>
      </c>
      <c r="D17" s="38">
        <v>5.0199999999999996</v>
      </c>
      <c r="E17" s="35">
        <f>'P Index Results'!C16/10</f>
        <v>0.437</v>
      </c>
      <c r="F17" s="34">
        <f>D17*C_factor!F15</f>
        <v>3.5451155362553388</v>
      </c>
      <c r="G17" s="35">
        <f>'P Index Results'!D16/10</f>
        <v>0.45</v>
      </c>
      <c r="H17" s="22">
        <f t="shared" si="0"/>
        <v>3.9019831210341835</v>
      </c>
      <c r="I17" s="23">
        <f t="shared" si="1"/>
        <v>0.48811859386141204</v>
      </c>
      <c r="J17" s="22">
        <f t="shared" si="2"/>
        <v>2.9397152987315529</v>
      </c>
      <c r="K17" s="23">
        <f t="shared" si="3"/>
        <v>0.34238816294933716</v>
      </c>
      <c r="L17" s="22">
        <f t="shared" si="4"/>
        <v>2.0760219875897876</v>
      </c>
      <c r="M17" s="23">
        <f t="shared" si="5"/>
        <v>0.35257362317437468</v>
      </c>
      <c r="N17" s="13">
        <f>'Buffer Trapping Line'!V15*(1-EXP(-'Buffer Trapping Line'!W15*5.03))</f>
        <v>41.439934288216072</v>
      </c>
      <c r="O17" s="13">
        <f>'Buffer Trapping Line'!S15*(1-EXP(-'Buffer Trapping Line'!T15*5.03))</f>
        <v>21.650305961250073</v>
      </c>
      <c r="P17" s="28">
        <f t="shared" si="6"/>
        <v>1.3860550753425265</v>
      </c>
      <c r="Q17" s="29">
        <f t="shared" si="7"/>
        <v>0.30104043007849968</v>
      </c>
      <c r="R17" s="28">
        <f t="shared" si="8"/>
        <v>1.0442401167509419</v>
      </c>
      <c r="S17" s="29">
        <f t="shared" si="9"/>
        <v>0.21116319092183686</v>
      </c>
      <c r="T17" s="28">
        <f t="shared" si="10"/>
        <v>0.73744060985554849</v>
      </c>
      <c r="U17" s="29">
        <f t="shared" si="11"/>
        <v>0.2174449334435391</v>
      </c>
      <c r="V17" s="10">
        <f>'Buffer Trapping Line'!V15*(1-EXP(-'Buffer Trapping Line'!W15*15.24))</f>
        <v>79.198404048786017</v>
      </c>
      <c r="W17" s="10">
        <f>'Buffer Trapping Line'!S15*(1-EXP(-'Buffer Trapping Line'!T15*15.24))</f>
        <v>51.678903679213533</v>
      </c>
      <c r="X17" s="13">
        <f t="shared" si="14"/>
        <v>2.7612319447388649</v>
      </c>
      <c r="Y17" s="13">
        <f t="shared" si="15"/>
        <v>0.13488140613858796</v>
      </c>
      <c r="Z17" s="13">
        <f t="shared" si="16"/>
        <v>2.0802847012684467</v>
      </c>
      <c r="AA17" s="13">
        <f t="shared" si="17"/>
        <v>9.4611837050662839E-2</v>
      </c>
      <c r="AB17" s="13">
        <f t="shared" si="18"/>
        <v>1.4690935486655512</v>
      </c>
      <c r="AC17" s="13">
        <f t="shared" si="19"/>
        <v>9.7426376825625327E-2</v>
      </c>
      <c r="AD17" s="10">
        <f t="shared" si="20"/>
        <v>5.2771599904305218</v>
      </c>
      <c r="AE17" s="10">
        <f t="shared" si="21"/>
        <v>0.32195956992150032</v>
      </c>
      <c r="AF17" s="10">
        <f t="shared" si="22"/>
        <v>3.9757598832490579</v>
      </c>
      <c r="AG17" s="10">
        <f t="shared" si="23"/>
        <v>0.22583680907816314</v>
      </c>
      <c r="AH17" s="10">
        <f t="shared" si="24"/>
        <v>2.8076749263997902</v>
      </c>
      <c r="AI17" s="10">
        <f t="shared" si="25"/>
        <v>0.23255506655646091</v>
      </c>
      <c r="AJ17" s="53"/>
      <c r="AK17" s="53"/>
      <c r="AL17" s="6">
        <f t="shared" si="26"/>
        <v>41.439934288216072</v>
      </c>
      <c r="AM17" s="6">
        <f t="shared" si="27"/>
        <v>37.758469760569945</v>
      </c>
      <c r="AN17" s="6">
        <f t="shared" si="28"/>
        <v>79.198404048786017</v>
      </c>
      <c r="AO17" s="6">
        <f t="shared" si="29"/>
        <v>21.650305961250073</v>
      </c>
      <c r="AP17" s="6">
        <f t="shared" si="30"/>
        <v>30.028597717963461</v>
      </c>
      <c r="AQ17" s="6">
        <f t="shared" si="31"/>
        <v>51.678903679213533</v>
      </c>
      <c r="AR17" s="40">
        <f t="shared" si="32"/>
        <v>24.660993972920899</v>
      </c>
      <c r="AS17">
        <f t="shared" si="33"/>
        <v>29.380168600491253</v>
      </c>
      <c r="AT17">
        <f t="shared" si="34"/>
        <v>46.795720965611011</v>
      </c>
      <c r="AU17">
        <f t="shared" si="35"/>
        <v>29.855537720706259</v>
      </c>
      <c r="AV17">
        <f t="shared" si="36"/>
        <v>-2.9748283752860427</v>
      </c>
      <c r="AW17">
        <f t="shared" si="37"/>
        <v>27.768860353130009</v>
      </c>
    </row>
    <row r="18" spans="1:49" x14ac:dyDescent="0.25">
      <c r="A18" s="1" t="s">
        <v>91</v>
      </c>
      <c r="B18" s="34">
        <f>D18*C_factor!E16</f>
        <v>3.0037559179361843</v>
      </c>
      <c r="C18" s="35">
        <f>'P Index Results'!B17/10</f>
        <v>0.751</v>
      </c>
      <c r="D18" s="38">
        <v>2.84</v>
      </c>
      <c r="E18" s="35">
        <f>'P Index Results'!C17/10</f>
        <v>0.33199999999999996</v>
      </c>
      <c r="F18" s="34">
        <f>D18*C_factor!F16</f>
        <v>2.4157818096194306</v>
      </c>
      <c r="G18" s="35">
        <f>'P Index Results'!D17/10</f>
        <v>0.309</v>
      </c>
      <c r="H18" s="22">
        <f t="shared" si="0"/>
        <v>1.759001439365028</v>
      </c>
      <c r="I18" s="23">
        <f t="shared" si="1"/>
        <v>0.58840620223101192</v>
      </c>
      <c r="J18" s="22">
        <f t="shared" si="2"/>
        <v>1.6631058662146634</v>
      </c>
      <c r="K18" s="23">
        <f t="shared" si="3"/>
        <v>0.26012098420864971</v>
      </c>
      <c r="L18" s="22">
        <f t="shared" si="4"/>
        <v>1.4146834151664613</v>
      </c>
      <c r="M18" s="23">
        <f t="shared" si="5"/>
        <v>0.24210055457973728</v>
      </c>
      <c r="N18" s="13">
        <f>'Buffer Trapping Line'!V16*(1-EXP(-'Buffer Trapping Line'!W16*5.03))</f>
        <v>41.439934288216072</v>
      </c>
      <c r="O18" s="13">
        <f>'Buffer Trapping Line'!S16*(1-EXP(-'Buffer Trapping Line'!T16*5.03))</f>
        <v>21.650305961250073</v>
      </c>
      <c r="P18" s="28">
        <f t="shared" si="6"/>
        <v>0.62482916940976374</v>
      </c>
      <c r="Q18" s="29">
        <f t="shared" si="7"/>
        <v>0.36289143336910634</v>
      </c>
      <c r="R18" s="28">
        <f t="shared" si="8"/>
        <v>0.59076532501447709</v>
      </c>
      <c r="S18" s="29">
        <f t="shared" si="9"/>
        <v>0.16042603978501105</v>
      </c>
      <c r="T18" s="28">
        <f t="shared" si="10"/>
        <v>0.50252117109995931</v>
      </c>
      <c r="U18" s="29">
        <f t="shared" si="11"/>
        <v>0.14931218763123019</v>
      </c>
      <c r="V18" s="10">
        <f>'Buffer Trapping Line'!V16*(1-EXP(-'Buffer Trapping Line'!W16*15.24))</f>
        <v>79.198404048786017</v>
      </c>
      <c r="W18" s="10">
        <f>'Buffer Trapping Line'!S16*(1-EXP(-'Buffer Trapping Line'!T16*15.24))</f>
        <v>51.678903679213533</v>
      </c>
      <c r="X18" s="13">
        <f t="shared" si="14"/>
        <v>1.2447544785711564</v>
      </c>
      <c r="Y18" s="13">
        <f t="shared" si="15"/>
        <v>0.16259379776898808</v>
      </c>
      <c r="Z18" s="13">
        <f t="shared" si="16"/>
        <v>1.1768941337853365</v>
      </c>
      <c r="AA18" s="13">
        <f t="shared" si="17"/>
        <v>7.1879015791350254E-2</v>
      </c>
      <c r="AB18" s="13">
        <f t="shared" si="18"/>
        <v>1.0010983944529692</v>
      </c>
      <c r="AC18" s="13">
        <f t="shared" si="19"/>
        <v>6.6899445420262715E-2</v>
      </c>
      <c r="AD18" s="10">
        <f t="shared" si="20"/>
        <v>2.3789267485264207</v>
      </c>
      <c r="AE18" s="10">
        <f t="shared" si="21"/>
        <v>0.38810856663089366</v>
      </c>
      <c r="AF18" s="10">
        <f t="shared" si="22"/>
        <v>2.249234674985523</v>
      </c>
      <c r="AG18" s="10">
        <f t="shared" si="23"/>
        <v>0.17157396021498891</v>
      </c>
      <c r="AH18" s="10">
        <f t="shared" si="24"/>
        <v>1.9132606385194713</v>
      </c>
      <c r="AI18" s="10">
        <f t="shared" si="25"/>
        <v>0.1596878123687698</v>
      </c>
      <c r="AJ18" s="53"/>
      <c r="AK18" s="53"/>
      <c r="AL18" s="6">
        <f t="shared" si="26"/>
        <v>41.439934288216072</v>
      </c>
      <c r="AM18" s="6">
        <f t="shared" si="27"/>
        <v>37.758469760569945</v>
      </c>
      <c r="AN18" s="6">
        <f t="shared" si="28"/>
        <v>79.198404048786017</v>
      </c>
      <c r="AO18" s="6">
        <f t="shared" si="29"/>
        <v>21.650305961250073</v>
      </c>
      <c r="AP18" s="6">
        <f t="shared" si="30"/>
        <v>30.028597717963461</v>
      </c>
      <c r="AQ18" s="6">
        <f t="shared" si="31"/>
        <v>51.678903679213533</v>
      </c>
      <c r="AR18" s="40">
        <f t="shared" si="32"/>
        <v>5.4517052120765408</v>
      </c>
      <c r="AS18">
        <f t="shared" si="33"/>
        <v>14.937260224667936</v>
      </c>
      <c r="AT18">
        <f t="shared" si="34"/>
        <v>19.574630042534814</v>
      </c>
      <c r="AU18">
        <f t="shared" si="35"/>
        <v>55.792276964047936</v>
      </c>
      <c r="AV18">
        <f t="shared" si="36"/>
        <v>6.9277108433734806</v>
      </c>
      <c r="AW18">
        <f t="shared" si="37"/>
        <v>58.854860186418115</v>
      </c>
    </row>
    <row r="19" spans="1:49" x14ac:dyDescent="0.25">
      <c r="A19" s="1" t="s">
        <v>33</v>
      </c>
      <c r="B19" s="34">
        <f>D19*C_factor!E17</f>
        <v>17.543725422915319</v>
      </c>
      <c r="C19" s="35">
        <f>'P Index Results'!B18/10</f>
        <v>1.841</v>
      </c>
      <c r="D19" s="38">
        <v>14.37</v>
      </c>
      <c r="E19" s="35">
        <f>'P Index Results'!C18/10</f>
        <v>1.1519999999999999</v>
      </c>
      <c r="F19" s="34">
        <f>D19*C_factor!F17</f>
        <v>11.076337433770142</v>
      </c>
      <c r="G19" s="35">
        <f>'P Index Results'!D18/10</f>
        <v>1.1179999999999999</v>
      </c>
      <c r="H19" s="22">
        <f t="shared" si="0"/>
        <v>17.300546190217929</v>
      </c>
      <c r="I19" s="23">
        <f t="shared" si="1"/>
        <v>1.8154813056176125</v>
      </c>
      <c r="J19" s="22">
        <f t="shared" si="2"/>
        <v>14.170812798329761</v>
      </c>
      <c r="K19" s="23">
        <f t="shared" si="3"/>
        <v>1.1360317566928244</v>
      </c>
      <c r="L19" s="22">
        <f t="shared" si="4"/>
        <v>10.922804750528112</v>
      </c>
      <c r="M19" s="23">
        <f t="shared" si="5"/>
        <v>1.1025030416515429</v>
      </c>
      <c r="N19" s="13">
        <f>'Buffer Trapping Line'!V17*(1-EXP(-'Buffer Trapping Line'!W17*5.03))</f>
        <v>1.3861322315256637</v>
      </c>
      <c r="O19" s="13">
        <f>'Buffer Trapping Line'!S17*(1-EXP(-'Buffer Trapping Line'!T17*5.03))</f>
        <v>1.3861322315256637</v>
      </c>
      <c r="P19" s="28">
        <f t="shared" si="6"/>
        <v>16.851213270865962</v>
      </c>
      <c r="Q19" s="29">
        <f t="shared" si="7"/>
        <v>1.7683292963045583</v>
      </c>
      <c r="R19" s="28">
        <f t="shared" si="8"/>
        <v>13.802765881529876</v>
      </c>
      <c r="S19" s="29">
        <f t="shared" si="9"/>
        <v>1.1065265341351715</v>
      </c>
      <c r="T19" s="28">
        <f t="shared" si="10"/>
        <v>10.639115687067132</v>
      </c>
      <c r="U19" s="29">
        <f t="shared" si="11"/>
        <v>1.0738686329540987</v>
      </c>
      <c r="V19" s="10">
        <f>'Buffer Trapping Line'!V17*(1-EXP(-'Buffer Trapping Line'!W17*15.24))</f>
        <v>3.9473494674330158</v>
      </c>
      <c r="W19" s="10">
        <f>'Buffer Trapping Line'!S17*(1-EXP(-'Buffer Trapping Line'!T17*15.24))</f>
        <v>3.9473494674330158</v>
      </c>
      <c r="X19" s="13">
        <f t="shared" si="14"/>
        <v>0.24317923269738984</v>
      </c>
      <c r="Y19" s="13">
        <f t="shared" si="15"/>
        <v>2.5518694382387519E-2</v>
      </c>
      <c r="Z19" s="13">
        <f t="shared" si="16"/>
        <v>0.19918720167023807</v>
      </c>
      <c r="AA19" s="13">
        <f t="shared" si="17"/>
        <v>1.59682433071755E-2</v>
      </c>
      <c r="AB19" s="13">
        <f t="shared" si="18"/>
        <v>0.15353268324203029</v>
      </c>
      <c r="AC19" s="13">
        <f t="shared" si="19"/>
        <v>1.5496958348456991E-2</v>
      </c>
      <c r="AD19" s="10">
        <f t="shared" si="20"/>
        <v>0.6925121520493569</v>
      </c>
      <c r="AE19" s="10">
        <f t="shared" si="21"/>
        <v>7.2670703695441707E-2</v>
      </c>
      <c r="AF19" s="10">
        <f t="shared" si="22"/>
        <v>0.56723411847012351</v>
      </c>
      <c r="AG19" s="10">
        <f t="shared" si="23"/>
        <v>4.5473465864828366E-2</v>
      </c>
      <c r="AH19" s="10">
        <f t="shared" si="24"/>
        <v>0.43722174670300973</v>
      </c>
      <c r="AI19" s="10">
        <f t="shared" si="25"/>
        <v>4.4131367045901149E-2</v>
      </c>
      <c r="AJ19" s="53"/>
      <c r="AK19" s="53"/>
      <c r="AL19" s="6">
        <f t="shared" si="26"/>
        <v>1.3861322315256637</v>
      </c>
      <c r="AM19" s="6">
        <f t="shared" si="27"/>
        <v>2.5612172359073524</v>
      </c>
      <c r="AN19" s="6">
        <f t="shared" si="28"/>
        <v>3.9473494674330158</v>
      </c>
      <c r="AO19" s="6">
        <f t="shared" si="29"/>
        <v>1.3861322315256637</v>
      </c>
      <c r="AP19" s="6">
        <f t="shared" si="30"/>
        <v>2.5612172359073524</v>
      </c>
      <c r="AQ19" s="6">
        <f t="shared" si="31"/>
        <v>3.9473494674330158</v>
      </c>
      <c r="AR19" s="40">
        <f t="shared" si="32"/>
        <v>18.090373318142873</v>
      </c>
      <c r="AS19">
        <f t="shared" si="33"/>
        <v>22.920407559010837</v>
      </c>
      <c r="AT19">
        <f t="shared" si="34"/>
        <v>36.864393583688802</v>
      </c>
      <c r="AU19">
        <f t="shared" si="35"/>
        <v>37.425312330255302</v>
      </c>
      <c r="AV19">
        <f t="shared" si="36"/>
        <v>2.9513888888888951</v>
      </c>
      <c r="AW19">
        <f t="shared" si="37"/>
        <v>39.272134709397079</v>
      </c>
    </row>
    <row r="20" spans="1:49" x14ac:dyDescent="0.25">
      <c r="A20" s="1" t="s">
        <v>34</v>
      </c>
      <c r="B20" s="34">
        <f>D20*C_factor!E18</f>
        <v>19.009705346657594</v>
      </c>
      <c r="C20" s="35">
        <f>'P Index Results'!B19/10</f>
        <v>2.5179999999999998</v>
      </c>
      <c r="D20" s="38">
        <v>16.21</v>
      </c>
      <c r="E20" s="35">
        <f>'P Index Results'!C19/10</f>
        <v>1.7</v>
      </c>
      <c r="F20" s="34">
        <f>D20*C_factor!F18</f>
        <v>10.321275088122992</v>
      </c>
      <c r="G20" s="35">
        <f>'P Index Results'!D19/10</f>
        <v>1.69</v>
      </c>
      <c r="H20" s="22">
        <f t="shared" si="0"/>
        <v>14.894045976774111</v>
      </c>
      <c r="I20" s="23">
        <f t="shared" si="1"/>
        <v>2.2353090098188662</v>
      </c>
      <c r="J20" s="22">
        <f t="shared" si="2"/>
        <v>12.700485403681364</v>
      </c>
      <c r="K20" s="23">
        <f t="shared" si="3"/>
        <v>1.5091442878046359</v>
      </c>
      <c r="L20" s="22">
        <f t="shared" si="4"/>
        <v>8.0866874524420815</v>
      </c>
      <c r="M20" s="23">
        <f t="shared" si="5"/>
        <v>1.5002669684646086</v>
      </c>
      <c r="N20" s="13">
        <f>'Buffer Trapping Line'!V18*(1-EXP(-'Buffer Trapping Line'!W18*5.03))</f>
        <v>21.650305961250073</v>
      </c>
      <c r="O20" s="13">
        <f>'Buffer Trapping Line'!S18*(1-EXP(-'Buffer Trapping Line'!T18*5.03))</f>
        <v>11.226806599727302</v>
      </c>
      <c r="P20" s="28">
        <f t="shared" si="6"/>
        <v>9.1856980308561109</v>
      </c>
      <c r="Q20" s="29">
        <f t="shared" si="7"/>
        <v>1.7600516494685159</v>
      </c>
      <c r="R20" s="28">
        <f t="shared" si="8"/>
        <v>7.8328497135994866</v>
      </c>
      <c r="S20" s="29">
        <f t="shared" si="9"/>
        <v>1.1882795091725487</v>
      </c>
      <c r="T20" s="28">
        <f t="shared" si="10"/>
        <v>4.9873532768652487</v>
      </c>
      <c r="U20" s="29">
        <f t="shared" si="11"/>
        <v>1.1812896297068276</v>
      </c>
      <c r="V20" s="10">
        <f>'Buffer Trapping Line'!V18*(1-EXP(-'Buffer Trapping Line'!W18*15.24))</f>
        <v>51.678903679213533</v>
      </c>
      <c r="W20" s="10">
        <f>'Buffer Trapping Line'!S18*(1-EXP(-'Buffer Trapping Line'!T18*15.24))</f>
        <v>30.101205342791257</v>
      </c>
      <c r="X20" s="13">
        <f t="shared" si="14"/>
        <v>4.1156593698834829</v>
      </c>
      <c r="Y20" s="13">
        <f t="shared" si="15"/>
        <v>0.28269099018113364</v>
      </c>
      <c r="Z20" s="13">
        <f t="shared" si="16"/>
        <v>3.5095145963186365</v>
      </c>
      <c r="AA20" s="13">
        <f t="shared" si="17"/>
        <v>0.19085571219536401</v>
      </c>
      <c r="AB20" s="13">
        <f t="shared" si="18"/>
        <v>2.23458763568091</v>
      </c>
      <c r="AC20" s="13">
        <f t="shared" si="19"/>
        <v>0.18973303153539134</v>
      </c>
      <c r="AD20" s="10">
        <f t="shared" si="20"/>
        <v>9.8240073158014827</v>
      </c>
      <c r="AE20" s="10">
        <f t="shared" si="21"/>
        <v>0.75794835053148391</v>
      </c>
      <c r="AF20" s="10">
        <f t="shared" si="22"/>
        <v>8.3771502864005143</v>
      </c>
      <c r="AG20" s="10">
        <f t="shared" si="23"/>
        <v>0.5117204908274513</v>
      </c>
      <c r="AH20" s="10">
        <f t="shared" si="24"/>
        <v>5.3339218112577429</v>
      </c>
      <c r="AI20" s="10">
        <f t="shared" si="25"/>
        <v>0.50871037029317234</v>
      </c>
      <c r="AJ20" s="53"/>
      <c r="AK20" s="53"/>
      <c r="AL20" s="6">
        <f t="shared" si="26"/>
        <v>21.650305961250073</v>
      </c>
      <c r="AM20" s="6">
        <f t="shared" si="27"/>
        <v>30.028597717963461</v>
      </c>
      <c r="AN20" s="6">
        <f t="shared" si="28"/>
        <v>51.678903679213533</v>
      </c>
      <c r="AO20" s="6">
        <f t="shared" si="29"/>
        <v>11.226806599727302</v>
      </c>
      <c r="AP20" s="6">
        <f t="shared" si="30"/>
        <v>18.874398743063956</v>
      </c>
      <c r="AQ20" s="6">
        <f t="shared" si="31"/>
        <v>30.101205342791257</v>
      </c>
      <c r="AR20" s="40">
        <f t="shared" si="32"/>
        <v>14.727768240499605</v>
      </c>
      <c r="AS20">
        <f t="shared" si="33"/>
        <v>36.327729252788451</v>
      </c>
      <c r="AT20">
        <f t="shared" si="34"/>
        <v>45.705233721901209</v>
      </c>
      <c r="AU20">
        <f t="shared" si="35"/>
        <v>32.486100079428113</v>
      </c>
      <c r="AV20">
        <f t="shared" si="36"/>
        <v>0.58823529411764497</v>
      </c>
      <c r="AW20">
        <f t="shared" si="37"/>
        <v>32.883240667196176</v>
      </c>
    </row>
    <row r="21" spans="1:49" x14ac:dyDescent="0.25">
      <c r="A21" s="1" t="s">
        <v>92</v>
      </c>
      <c r="B21" s="34">
        <f>D21*C_factor!E19</f>
        <v>0.30383922534467556</v>
      </c>
      <c r="C21" s="35">
        <f>'P Index Results'!B20/10</f>
        <v>0.39500000000000002</v>
      </c>
      <c r="D21" s="38">
        <v>0.3</v>
      </c>
      <c r="E21" s="35">
        <f>'P Index Results'!C20/10</f>
        <v>0.13400000000000001</v>
      </c>
      <c r="F21" s="34">
        <f>D21*C_factor!F19</f>
        <v>0.27357280492596653</v>
      </c>
      <c r="G21" s="35">
        <f>'P Index Results'!D20/10</f>
        <v>0.126</v>
      </c>
      <c r="H21" s="22">
        <f t="shared" si="0"/>
        <v>0</v>
      </c>
      <c r="I21" s="23">
        <f t="shared" si="1"/>
        <v>0</v>
      </c>
      <c r="J21" s="22">
        <f t="shared" si="2"/>
        <v>0</v>
      </c>
      <c r="K21" s="23">
        <f t="shared" si="3"/>
        <v>0</v>
      </c>
      <c r="L21" s="22">
        <f t="shared" si="4"/>
        <v>0</v>
      </c>
      <c r="M21" s="23">
        <f t="shared" si="5"/>
        <v>0</v>
      </c>
      <c r="N21" s="13">
        <f>'Buffer Trapping Line'!V19*(1-EXP(-'Buffer Trapping Line'!W19*5.03))</f>
        <v>100</v>
      </c>
      <c r="O21" s="13">
        <f>'Buffer Trapping Line'!S19*(1-EXP(-'Buffer Trapping Line'!T19*5.03))</f>
        <v>100</v>
      </c>
      <c r="P21" s="28">
        <f t="shared" si="6"/>
        <v>0</v>
      </c>
      <c r="Q21" s="29">
        <f t="shared" si="7"/>
        <v>0</v>
      </c>
      <c r="R21" s="28">
        <f t="shared" si="8"/>
        <v>0</v>
      </c>
      <c r="S21" s="29">
        <f t="shared" si="9"/>
        <v>0</v>
      </c>
      <c r="T21" s="28">
        <f t="shared" si="10"/>
        <v>0</v>
      </c>
      <c r="U21" s="29">
        <f t="shared" si="11"/>
        <v>0</v>
      </c>
      <c r="V21" s="10">
        <f>'Buffer Trapping Line'!V19*(1-EXP(-'Buffer Trapping Line'!W19*15.24))</f>
        <v>100</v>
      </c>
      <c r="W21" s="10">
        <f>'Buffer Trapping Line'!S19*(1-EXP(-'Buffer Trapping Line'!T19*15.24))</f>
        <v>100</v>
      </c>
      <c r="X21" s="13">
        <f t="shared" si="14"/>
        <v>0.30383922534467556</v>
      </c>
      <c r="Y21" s="13">
        <f t="shared" si="15"/>
        <v>0.39500000000000002</v>
      </c>
      <c r="Z21" s="13">
        <f t="shared" si="16"/>
        <v>0.3</v>
      </c>
      <c r="AA21" s="13">
        <f t="shared" si="17"/>
        <v>0.13400000000000001</v>
      </c>
      <c r="AB21" s="13">
        <f t="shared" si="18"/>
        <v>0.27357280492596653</v>
      </c>
      <c r="AC21" s="13">
        <f t="shared" si="19"/>
        <v>0.126</v>
      </c>
      <c r="AD21" s="10">
        <f t="shared" si="20"/>
        <v>0.30383922534467556</v>
      </c>
      <c r="AE21" s="10">
        <f t="shared" si="21"/>
        <v>0.39500000000000002</v>
      </c>
      <c r="AF21" s="10">
        <f t="shared" si="22"/>
        <v>0.3</v>
      </c>
      <c r="AG21" s="10">
        <f t="shared" si="23"/>
        <v>0.13400000000000001</v>
      </c>
      <c r="AH21" s="10">
        <f t="shared" si="24"/>
        <v>0.27357280492596653</v>
      </c>
      <c r="AI21" s="10">
        <f t="shared" si="25"/>
        <v>0.126</v>
      </c>
      <c r="AJ21" s="53"/>
      <c r="AK21" s="53"/>
      <c r="AL21" s="6">
        <f t="shared" si="26"/>
        <v>100</v>
      </c>
      <c r="AM21" s="6">
        <f t="shared" si="27"/>
        <v>0</v>
      </c>
      <c r="AN21" s="6">
        <f t="shared" si="28"/>
        <v>100</v>
      </c>
      <c r="AO21" s="6">
        <f t="shared" si="29"/>
        <v>100</v>
      </c>
      <c r="AP21" s="6">
        <f t="shared" si="30"/>
        <v>0</v>
      </c>
      <c r="AQ21" s="6">
        <f t="shared" si="31"/>
        <v>100</v>
      </c>
      <c r="AR21" s="40">
        <f t="shared" si="32"/>
        <v>1.2635713312921792</v>
      </c>
      <c r="AS21">
        <f t="shared" si="33"/>
        <v>8.809065024677821</v>
      </c>
      <c r="AT21">
        <f t="shared" si="34"/>
        <v>9.9613275357632869</v>
      </c>
      <c r="AU21">
        <f t="shared" si="35"/>
        <v>66.075949367088612</v>
      </c>
      <c r="AV21">
        <f t="shared" si="36"/>
        <v>5.9701492537313499</v>
      </c>
      <c r="AW21">
        <f t="shared" si="37"/>
        <v>68.101265822784825</v>
      </c>
    </row>
    <row r="22" spans="1:49" x14ac:dyDescent="0.25">
      <c r="A22" s="1" t="s">
        <v>36</v>
      </c>
      <c r="B22" s="34">
        <f>D22*C_factor!E20</f>
        <v>6.0007721097641387</v>
      </c>
      <c r="C22" s="35">
        <f>'P Index Results'!B21/10</f>
        <v>1.0779999999999998</v>
      </c>
      <c r="D22" s="38">
        <v>5.62</v>
      </c>
      <c r="E22" s="35">
        <f>'P Index Results'!C21/10</f>
        <v>0.65900000000000003</v>
      </c>
      <c r="F22" s="34">
        <f>D22*C_factor!F20</f>
        <v>3.7877295398443711</v>
      </c>
      <c r="G22" s="35">
        <f>'P Index Results'!D21/10</f>
        <v>0.65700000000000003</v>
      </c>
      <c r="H22" s="22">
        <f t="shared" si="0"/>
        <v>5.3270770305105435</v>
      </c>
      <c r="I22" s="23">
        <f t="shared" si="1"/>
        <v>1.0028903520302084</v>
      </c>
      <c r="J22" s="22">
        <f t="shared" si="2"/>
        <v>4.9890534690953254</v>
      </c>
      <c r="K22" s="23">
        <f t="shared" si="3"/>
        <v>0.61308417624110145</v>
      </c>
      <c r="L22" s="22">
        <f t="shared" si="4"/>
        <v>3.3624884698853026</v>
      </c>
      <c r="M22" s="23">
        <f t="shared" si="5"/>
        <v>0.61122352623733489</v>
      </c>
      <c r="N22" s="13">
        <f>'Buffer Trapping Line'!V20*(1-EXP(-'Buffer Trapping Line'!W20*5.03))</f>
        <v>11.226806599727302</v>
      </c>
      <c r="O22" s="13">
        <f>'Buffer Trapping Line'!S20*(1-EXP(-'Buffer Trapping Line'!T20*5.03))</f>
        <v>6.9674998116689739</v>
      </c>
      <c r="P22" s="28">
        <f t="shared" si="6"/>
        <v>4.1944673748510883</v>
      </c>
      <c r="Q22" s="29">
        <f t="shared" si="7"/>
        <v>0.88668521951147095</v>
      </c>
      <c r="R22" s="28">
        <f t="shared" si="8"/>
        <v>3.9283122597351312</v>
      </c>
      <c r="S22" s="29">
        <f t="shared" si="9"/>
        <v>0.54204597370877494</v>
      </c>
      <c r="T22" s="28">
        <f t="shared" si="10"/>
        <v>2.6475772932262545</v>
      </c>
      <c r="U22" s="29">
        <f t="shared" si="11"/>
        <v>0.540400917642891</v>
      </c>
      <c r="V22" s="10">
        <f>'Buffer Trapping Line'!V20*(1-EXP(-'Buffer Trapping Line'!W20*15.24))</f>
        <v>30.101205342791257</v>
      </c>
      <c r="W22" s="10">
        <f>'Buffer Trapping Line'!S20*(1-EXP(-'Buffer Trapping Line'!T20*15.24))</f>
        <v>17.747196705800455</v>
      </c>
      <c r="X22" s="13">
        <f t="shared" si="14"/>
        <v>0.67369507925359517</v>
      </c>
      <c r="Y22" s="13">
        <f t="shared" si="15"/>
        <v>7.5109647969791471E-2</v>
      </c>
      <c r="Z22" s="13">
        <f t="shared" si="16"/>
        <v>0.63094653090467467</v>
      </c>
      <c r="AA22" s="13">
        <f t="shared" si="17"/>
        <v>4.5915823758898577E-2</v>
      </c>
      <c r="AB22" s="13">
        <f t="shared" si="18"/>
        <v>0.42524106995906852</v>
      </c>
      <c r="AC22" s="13">
        <f t="shared" si="19"/>
        <v>4.5776473762665137E-2</v>
      </c>
      <c r="AD22" s="10">
        <f t="shared" si="20"/>
        <v>1.8063047349130503</v>
      </c>
      <c r="AE22" s="10">
        <f t="shared" si="21"/>
        <v>0.1913147804885289</v>
      </c>
      <c r="AF22" s="10">
        <f t="shared" si="22"/>
        <v>1.6916877402648689</v>
      </c>
      <c r="AG22" s="10">
        <f t="shared" si="23"/>
        <v>0.11695402629122509</v>
      </c>
      <c r="AH22" s="10">
        <f t="shared" si="24"/>
        <v>1.1401522466181166</v>
      </c>
      <c r="AI22" s="10">
        <f t="shared" si="25"/>
        <v>0.11659908235710903</v>
      </c>
      <c r="AJ22" s="53"/>
      <c r="AK22" s="53"/>
      <c r="AL22" s="6">
        <f t="shared" si="26"/>
        <v>11.226806599727302</v>
      </c>
      <c r="AM22" s="6">
        <f t="shared" si="27"/>
        <v>18.874398743063956</v>
      </c>
      <c r="AN22" s="6">
        <f t="shared" si="28"/>
        <v>30.101205342791257</v>
      </c>
      <c r="AO22" s="6">
        <f t="shared" si="29"/>
        <v>6.9674998116689739</v>
      </c>
      <c r="AP22" s="6">
        <f t="shared" si="30"/>
        <v>10.779696894131481</v>
      </c>
      <c r="AQ22" s="6">
        <f t="shared" si="31"/>
        <v>17.747196705800455</v>
      </c>
      <c r="AR22" s="40">
        <f t="shared" si="32"/>
        <v>6.3453852737477945</v>
      </c>
      <c r="AS22">
        <f t="shared" si="33"/>
        <v>32.602677226968488</v>
      </c>
      <c r="AT22">
        <f t="shared" si="34"/>
        <v>36.879297021108705</v>
      </c>
      <c r="AU22">
        <f t="shared" si="35"/>
        <v>38.868274582560282</v>
      </c>
      <c r="AV22">
        <f t="shared" si="36"/>
        <v>0.30349013657056112</v>
      </c>
      <c r="AW22">
        <f t="shared" si="37"/>
        <v>39.053803339517614</v>
      </c>
    </row>
    <row r="23" spans="1:49" x14ac:dyDescent="0.25">
      <c r="A23" s="1" t="s">
        <v>37</v>
      </c>
      <c r="B23" s="34">
        <f>D23*C_factor!E21</f>
        <v>5.0459163142951384</v>
      </c>
      <c r="C23" s="35">
        <f>'P Index Results'!B22/10</f>
        <v>0.8</v>
      </c>
      <c r="D23" s="38">
        <v>4.18</v>
      </c>
      <c r="E23" s="35">
        <f>'P Index Results'!C22/10</f>
        <v>0.434</v>
      </c>
      <c r="F23" s="34">
        <f>D23*C_factor!F21</f>
        <v>2.6871532998901664</v>
      </c>
      <c r="G23" s="35">
        <f>'P Index Results'!D22/10</f>
        <v>0.41</v>
      </c>
      <c r="H23" s="22">
        <f t="shared" si="0"/>
        <v>4.9759732418868818</v>
      </c>
      <c r="I23" s="23">
        <f t="shared" si="1"/>
        <v>0.78891094214779478</v>
      </c>
      <c r="J23" s="22">
        <f t="shared" si="2"/>
        <v>4.1220596727222274</v>
      </c>
      <c r="K23" s="23">
        <f t="shared" si="3"/>
        <v>0.42798418611517863</v>
      </c>
      <c r="L23" s="22">
        <f t="shared" si="4"/>
        <v>2.6499058018898833</v>
      </c>
      <c r="M23" s="23">
        <f t="shared" si="5"/>
        <v>0.40431685785074478</v>
      </c>
      <c r="N23" s="13">
        <f>'Buffer Trapping Line'!V21*(1-EXP(-'Buffer Trapping Line'!W21*5.03))</f>
        <v>1.3861322315256637</v>
      </c>
      <c r="O23" s="13">
        <f>'Buffer Trapping Line'!S21*(1-EXP(-'Buffer Trapping Line'!T21*5.03))</f>
        <v>1.3861322315256637</v>
      </c>
      <c r="P23" s="28">
        <f t="shared" si="6"/>
        <v>4.8467363635356939</v>
      </c>
      <c r="Q23" s="29">
        <f t="shared" si="7"/>
        <v>0.76842120426053595</v>
      </c>
      <c r="R23" s="28">
        <f t="shared" si="8"/>
        <v>4.0150007922612998</v>
      </c>
      <c r="S23" s="29">
        <f t="shared" si="9"/>
        <v>0.41686850331134073</v>
      </c>
      <c r="T23" s="28">
        <f t="shared" si="10"/>
        <v>2.5810819684178434</v>
      </c>
      <c r="U23" s="29">
        <f t="shared" si="11"/>
        <v>0.39381586718352463</v>
      </c>
      <c r="V23" s="10">
        <f>'Buffer Trapping Line'!V21*(1-EXP(-'Buffer Trapping Line'!W21*15.24))</f>
        <v>3.9473494674330158</v>
      </c>
      <c r="W23" s="10">
        <f>'Buffer Trapping Line'!S21*(1-EXP(-'Buffer Trapping Line'!T21*15.24))</f>
        <v>3.9473494674330158</v>
      </c>
      <c r="X23" s="13">
        <f t="shared" si="14"/>
        <v>6.994307240825659E-2</v>
      </c>
      <c r="Y23" s="13">
        <f t="shared" si="15"/>
        <v>1.1089057852205264E-2</v>
      </c>
      <c r="Z23" s="13">
        <f t="shared" si="16"/>
        <v>5.7940327277772319E-2</v>
      </c>
      <c r="AA23" s="13">
        <f t="shared" si="17"/>
        <v>6.0158138848213638E-3</v>
      </c>
      <c r="AB23" s="13">
        <f t="shared" si="18"/>
        <v>3.7247498000283041E-2</v>
      </c>
      <c r="AC23" s="13">
        <f t="shared" si="19"/>
        <v>5.6831421492551937E-3</v>
      </c>
      <c r="AD23" s="10">
        <f t="shared" si="20"/>
        <v>0.1991799507594445</v>
      </c>
      <c r="AE23" s="10">
        <f t="shared" si="21"/>
        <v>3.1578795739464094E-2</v>
      </c>
      <c r="AF23" s="10">
        <f t="shared" si="22"/>
        <v>0.16499920773869992</v>
      </c>
      <c r="AG23" s="10">
        <f t="shared" si="23"/>
        <v>1.7131496688659265E-2</v>
      </c>
      <c r="AH23" s="10">
        <f t="shared" si="24"/>
        <v>0.10607133147232295</v>
      </c>
      <c r="AI23" s="10">
        <f t="shared" si="25"/>
        <v>1.618413281647535E-2</v>
      </c>
      <c r="AJ23" s="53"/>
      <c r="AK23" s="53"/>
      <c r="AL23" s="6">
        <f t="shared" si="26"/>
        <v>1.3861322315256637</v>
      </c>
      <c r="AM23" s="6">
        <f t="shared" si="27"/>
        <v>2.5612172359073524</v>
      </c>
      <c r="AN23" s="6">
        <f t="shared" si="28"/>
        <v>3.9473494674330158</v>
      </c>
      <c r="AO23" s="6">
        <f t="shared" si="29"/>
        <v>1.3861322315256637</v>
      </c>
      <c r="AP23" s="6">
        <f t="shared" si="30"/>
        <v>2.5612172359073524</v>
      </c>
      <c r="AQ23" s="6">
        <f t="shared" si="31"/>
        <v>3.9473494674330158</v>
      </c>
      <c r="AR23" s="40">
        <f t="shared" si="32"/>
        <v>17.160734747859131</v>
      </c>
      <c r="AS23">
        <f t="shared" si="33"/>
        <v>35.714035887795056</v>
      </c>
      <c r="AT23">
        <f t="shared" si="34"/>
        <v>46.745979669194462</v>
      </c>
      <c r="AU23">
        <f t="shared" si="35"/>
        <v>45.75</v>
      </c>
      <c r="AV23">
        <f t="shared" si="36"/>
        <v>5.5299539170507011</v>
      </c>
      <c r="AW23">
        <f t="shared" si="37"/>
        <v>48.750000000000007</v>
      </c>
    </row>
    <row r="24" spans="1:49" x14ac:dyDescent="0.25">
      <c r="A24" s="1" t="s">
        <v>38</v>
      </c>
      <c r="B24" s="34">
        <f>D24*C_factor!E22</f>
        <v>18.404622578946785</v>
      </c>
      <c r="C24" s="35">
        <f>'P Index Results'!B23/10</f>
        <v>2.1559999999999997</v>
      </c>
      <c r="D24" s="38">
        <v>15.14</v>
      </c>
      <c r="E24" s="35">
        <f>'P Index Results'!C23/10</f>
        <v>1.3439999999999999</v>
      </c>
      <c r="F24" s="34">
        <f>D24*C_factor!F22</f>
        <v>10.36019254618888</v>
      </c>
      <c r="G24" s="35">
        <f>'P Index Results'!D23/10</f>
        <v>1.2689999999999999</v>
      </c>
      <c r="H24" s="22">
        <f t="shared" si="0"/>
        <v>18.149510173289354</v>
      </c>
      <c r="I24" s="23">
        <f t="shared" si="1"/>
        <v>2.1261149890883067</v>
      </c>
      <c r="J24" s="22">
        <f t="shared" si="2"/>
        <v>14.930139580147015</v>
      </c>
      <c r="K24" s="23">
        <f t="shared" si="3"/>
        <v>1.325370382808295</v>
      </c>
      <c r="L24" s="22">
        <f t="shared" si="4"/>
        <v>10.216586578058036</v>
      </c>
      <c r="M24" s="23">
        <f t="shared" si="5"/>
        <v>1.2514099819819393</v>
      </c>
      <c r="N24" s="13">
        <f>'Buffer Trapping Line'!V22*(1-EXP(-'Buffer Trapping Line'!W22*5.03))</f>
        <v>1.3861322315256637</v>
      </c>
      <c r="O24" s="13">
        <f>'Buffer Trapping Line'!S22*(1-EXP(-'Buffer Trapping Line'!T22*5.03))</f>
        <v>1.3861322315256637</v>
      </c>
      <c r="P24" s="28">
        <f t="shared" si="6"/>
        <v>17.678127807593672</v>
      </c>
      <c r="Q24" s="29">
        <f t="shared" si="7"/>
        <v>2.0708951454821438</v>
      </c>
      <c r="R24" s="28">
        <f t="shared" si="8"/>
        <v>14.542371290630642</v>
      </c>
      <c r="S24" s="29">
        <f t="shared" si="9"/>
        <v>1.2909476231577002</v>
      </c>
      <c r="T24" s="28">
        <f t="shared" si="10"/>
        <v>9.9512395408918586</v>
      </c>
      <c r="U24" s="29">
        <f t="shared" si="11"/>
        <v>1.2189081352582749</v>
      </c>
      <c r="V24" s="10">
        <f>'Buffer Trapping Line'!V22*(1-EXP(-'Buffer Trapping Line'!W22*15.24))</f>
        <v>3.9473494674330158</v>
      </c>
      <c r="W24" s="10">
        <f>'Buffer Trapping Line'!S22*(1-EXP(-'Buffer Trapping Line'!T22*15.24))</f>
        <v>3.9473494674330158</v>
      </c>
      <c r="X24" s="13">
        <f t="shared" si="14"/>
        <v>0.25511240565743165</v>
      </c>
      <c r="Y24" s="13">
        <f t="shared" si="15"/>
        <v>2.9885010911693044E-2</v>
      </c>
      <c r="Z24" s="13">
        <f t="shared" si="16"/>
        <v>0.2098604198529852</v>
      </c>
      <c r="AA24" s="13">
        <f t="shared" si="17"/>
        <v>1.8629617191704861E-2</v>
      </c>
      <c r="AB24" s="13">
        <f t="shared" si="18"/>
        <v>0.14360596813084392</v>
      </c>
      <c r="AC24" s="13">
        <f t="shared" si="19"/>
        <v>1.7590018018060594E-2</v>
      </c>
      <c r="AD24" s="10">
        <f t="shared" si="20"/>
        <v>0.72649477135311358</v>
      </c>
      <c r="AE24" s="10">
        <f t="shared" si="21"/>
        <v>8.5104854517855877E-2</v>
      </c>
      <c r="AF24" s="10">
        <f t="shared" si="22"/>
        <v>0.59762870936935819</v>
      </c>
      <c r="AG24" s="10">
        <f t="shared" si="23"/>
        <v>5.3052376842299687E-2</v>
      </c>
      <c r="AH24" s="10">
        <f t="shared" si="24"/>
        <v>0.40895300529702183</v>
      </c>
      <c r="AI24" s="10">
        <f t="shared" si="25"/>
        <v>5.0091864741725001E-2</v>
      </c>
      <c r="AJ24" s="53"/>
      <c r="AK24" s="53"/>
      <c r="AL24" s="6">
        <f t="shared" si="26"/>
        <v>1.3861322315256637</v>
      </c>
      <c r="AM24" s="6">
        <f t="shared" si="27"/>
        <v>2.5612172359073524</v>
      </c>
      <c r="AN24" s="6">
        <f t="shared" si="28"/>
        <v>3.9473494674330158</v>
      </c>
      <c r="AO24" s="6">
        <f t="shared" si="29"/>
        <v>1.3861322315256637</v>
      </c>
      <c r="AP24" s="6">
        <f t="shared" si="30"/>
        <v>2.5612172359073524</v>
      </c>
      <c r="AQ24" s="6">
        <f t="shared" si="31"/>
        <v>3.9473494674330158</v>
      </c>
      <c r="AR24" s="40">
        <f t="shared" si="32"/>
        <v>17.738057734915014</v>
      </c>
      <c r="AS24">
        <f t="shared" si="33"/>
        <v>31.570722944591278</v>
      </c>
      <c r="AT24">
        <f t="shared" si="34"/>
        <v>43.708747616264631</v>
      </c>
      <c r="AU24">
        <f t="shared" si="35"/>
        <v>37.662337662337663</v>
      </c>
      <c r="AV24">
        <f t="shared" si="36"/>
        <v>5.5803571428571397</v>
      </c>
      <c r="AW24">
        <f t="shared" si="37"/>
        <v>41.141001855287563</v>
      </c>
    </row>
    <row r="25" spans="1:49" x14ac:dyDescent="0.25">
      <c r="A25" s="1" t="s">
        <v>39</v>
      </c>
      <c r="B25" s="34">
        <f>D25*C_factor!E23</f>
        <v>17.760281745417767</v>
      </c>
      <c r="C25" s="35">
        <f>'P Index Results'!B24/10</f>
        <v>2.431</v>
      </c>
      <c r="D25" s="38">
        <v>14.88</v>
      </c>
      <c r="E25" s="35">
        <f>'P Index Results'!C24/10</f>
        <v>1.659</v>
      </c>
      <c r="F25" s="34">
        <f>D25*C_factor!F23</f>
        <v>9.5380645926710006</v>
      </c>
      <c r="G25" s="35">
        <f>'P Index Results'!D24/10</f>
        <v>1.6440000000000001</v>
      </c>
      <c r="H25" s="22">
        <f t="shared" si="0"/>
        <v>15.766369262293042</v>
      </c>
      <c r="I25" s="23">
        <f t="shared" si="1"/>
        <v>2.2616200795783272</v>
      </c>
      <c r="J25" s="22">
        <f t="shared" si="2"/>
        <v>13.209451177960577</v>
      </c>
      <c r="K25" s="23">
        <f t="shared" si="3"/>
        <v>1.5434091781244117</v>
      </c>
      <c r="L25" s="22">
        <f t="shared" si="4"/>
        <v>8.4672445274947599</v>
      </c>
      <c r="M25" s="23">
        <f t="shared" si="5"/>
        <v>1.5294543030961623</v>
      </c>
      <c r="N25" s="13">
        <f>'Buffer Trapping Line'!V23*(1-EXP(-'Buffer Trapping Line'!W23*5.03))</f>
        <v>11.226806599727302</v>
      </c>
      <c r="O25" s="13">
        <f>'Buffer Trapping Line'!S23*(1-EXP(-'Buffer Trapping Line'!T23*5.03))</f>
        <v>6.9674998116689739</v>
      </c>
      <c r="P25" s="28">
        <f t="shared" si="6"/>
        <v>12.414222867771294</v>
      </c>
      <c r="Q25" s="29">
        <f t="shared" si="7"/>
        <v>1.9995656480819908</v>
      </c>
      <c r="R25" s="28">
        <f t="shared" si="8"/>
        <v>10.40094064499266</v>
      </c>
      <c r="S25" s="29">
        <f t="shared" si="9"/>
        <v>1.3645740066507703</v>
      </c>
      <c r="T25" s="28">
        <f t="shared" si="10"/>
        <v>6.6669921839030364</v>
      </c>
      <c r="U25" s="29">
        <f t="shared" si="11"/>
        <v>1.3522360861566405</v>
      </c>
      <c r="V25" s="10">
        <f>'Buffer Trapping Line'!V23*(1-EXP(-'Buffer Trapping Line'!W23*15.24))</f>
        <v>30.101205342791257</v>
      </c>
      <c r="W25" s="10">
        <f>'Buffer Trapping Line'!S23*(1-EXP(-'Buffer Trapping Line'!T23*15.24))</f>
        <v>17.747196705800455</v>
      </c>
      <c r="X25" s="13">
        <f t="shared" si="14"/>
        <v>1.9939124831247259</v>
      </c>
      <c r="Y25" s="13">
        <f t="shared" si="15"/>
        <v>0.16937992042167282</v>
      </c>
      <c r="Z25" s="13">
        <f t="shared" si="16"/>
        <v>1.6705488220394233</v>
      </c>
      <c r="AA25" s="13">
        <f t="shared" si="17"/>
        <v>0.11559082187558833</v>
      </c>
      <c r="AB25" s="13">
        <f t="shared" si="18"/>
        <v>1.0708200651762407</v>
      </c>
      <c r="AC25" s="13">
        <f t="shared" si="19"/>
        <v>0.11454569690383787</v>
      </c>
      <c r="AD25" s="10">
        <f t="shared" si="20"/>
        <v>5.3460588776464739</v>
      </c>
      <c r="AE25" s="10">
        <f t="shared" si="21"/>
        <v>0.43143435191800927</v>
      </c>
      <c r="AF25" s="10">
        <f t="shared" si="22"/>
        <v>4.4790593550073403</v>
      </c>
      <c r="AG25" s="10">
        <f t="shared" si="23"/>
        <v>0.2944259933492297</v>
      </c>
      <c r="AH25" s="10">
        <f t="shared" si="24"/>
        <v>2.8710724087679642</v>
      </c>
      <c r="AI25" s="10">
        <f t="shared" si="25"/>
        <v>0.29176391384335965</v>
      </c>
      <c r="AJ25" s="53"/>
      <c r="AK25" s="53"/>
      <c r="AL25" s="6">
        <f t="shared" si="26"/>
        <v>11.226806599727302</v>
      </c>
      <c r="AM25" s="6">
        <f t="shared" si="27"/>
        <v>18.874398743063956</v>
      </c>
      <c r="AN25" s="6">
        <f t="shared" si="28"/>
        <v>30.101205342791257</v>
      </c>
      <c r="AO25" s="6">
        <f t="shared" si="29"/>
        <v>6.9674998116689739</v>
      </c>
      <c r="AP25" s="6">
        <f t="shared" si="30"/>
        <v>10.779696894131481</v>
      </c>
      <c r="AQ25" s="6">
        <f t="shared" si="31"/>
        <v>17.747196705800455</v>
      </c>
      <c r="AR25" s="40">
        <f t="shared" si="32"/>
        <v>16.217545344745965</v>
      </c>
      <c r="AS25">
        <f t="shared" si="33"/>
        <v>35.900103543877691</v>
      </c>
      <c r="AT25">
        <f t="shared" si="34"/>
        <v>46.295533317584535</v>
      </c>
      <c r="AU25">
        <f t="shared" si="35"/>
        <v>31.756478815302348</v>
      </c>
      <c r="AV25">
        <f t="shared" si="36"/>
        <v>0.90415913200723175</v>
      </c>
      <c r="AW25">
        <f t="shared" si="37"/>
        <v>32.373508844097074</v>
      </c>
    </row>
    <row r="26" spans="1:49" x14ac:dyDescent="0.25">
      <c r="A26" s="1" t="s">
        <v>40</v>
      </c>
      <c r="B26" s="34">
        <f>D26*C_factor!E24</f>
        <v>38.079705607546721</v>
      </c>
      <c r="C26" s="35">
        <f>'P Index Results'!B25/10</f>
        <v>3.4850000000000003</v>
      </c>
      <c r="D26" s="38">
        <v>31.13</v>
      </c>
      <c r="E26" s="35">
        <f>'P Index Results'!C25/10</f>
        <v>2.3780000000000001</v>
      </c>
      <c r="F26" s="34">
        <f>D26*C_factor!F24</f>
        <v>24.61431470359264</v>
      </c>
      <c r="G26" s="35">
        <f>'P Index Results'!D25/10</f>
        <v>2.3289999999999997</v>
      </c>
      <c r="H26" s="22">
        <f t="shared" si="0"/>
        <v>37.55187053445043</v>
      </c>
      <c r="I26" s="23">
        <f t="shared" si="1"/>
        <v>3.4366932917313311</v>
      </c>
      <c r="J26" s="22">
        <f t="shared" si="2"/>
        <v>30.69849703632606</v>
      </c>
      <c r="K26" s="23">
        <f t="shared" si="3"/>
        <v>2.3450377755343199</v>
      </c>
      <c r="L26" s="22">
        <f t="shared" si="4"/>
        <v>24.273127753916985</v>
      </c>
      <c r="M26" s="23">
        <f t="shared" si="5"/>
        <v>2.2967169803277669</v>
      </c>
      <c r="N26" s="13">
        <f>'Buffer Trapping Line'!V24*(1-EXP(-'Buffer Trapping Line'!W24*5.03))</f>
        <v>1.3861322315256637</v>
      </c>
      <c r="O26" s="13">
        <f>'Buffer Trapping Line'!S24*(1-EXP(-'Buffer Trapping Line'!T24*5.03))</f>
        <v>1.3861322315256637</v>
      </c>
      <c r="P26" s="28">
        <f t="shared" si="6"/>
        <v>36.576566551047165</v>
      </c>
      <c r="Q26" s="29">
        <f t="shared" si="7"/>
        <v>3.34743487105996</v>
      </c>
      <c r="R26" s="28">
        <f t="shared" si="8"/>
        <v>29.9011901107881</v>
      </c>
      <c r="S26" s="29">
        <f t="shared" si="9"/>
        <v>2.284132029664443</v>
      </c>
      <c r="T26" s="28">
        <f t="shared" si="10"/>
        <v>23.64270168322809</v>
      </c>
      <c r="U26" s="29">
        <f t="shared" si="11"/>
        <v>2.2370662309034848</v>
      </c>
      <c r="V26" s="10">
        <f>'Buffer Trapping Line'!V24*(1-EXP(-'Buffer Trapping Line'!W24*15.24))</f>
        <v>3.9473494674330158</v>
      </c>
      <c r="W26" s="10">
        <f>'Buffer Trapping Line'!S24*(1-EXP(-'Buffer Trapping Line'!T24*15.24))</f>
        <v>3.9473494674330158</v>
      </c>
      <c r="X26" s="13">
        <f t="shared" si="14"/>
        <v>0.5278350730962913</v>
      </c>
      <c r="Y26" s="13">
        <f t="shared" si="15"/>
        <v>4.830670826866923E-2</v>
      </c>
      <c r="Z26" s="13">
        <f t="shared" si="16"/>
        <v>0.43150296367393892</v>
      </c>
      <c r="AA26" s="13">
        <f t="shared" si="17"/>
        <v>3.2962224465680201E-2</v>
      </c>
      <c r="AB26" s="13">
        <f t="shared" si="18"/>
        <v>0.34118694967565588</v>
      </c>
      <c r="AC26" s="13">
        <f t="shared" si="19"/>
        <v>3.2283019672232793E-2</v>
      </c>
      <c r="AD26" s="10">
        <f t="shared" si="20"/>
        <v>1.5031390564995561</v>
      </c>
      <c r="AE26" s="10">
        <f t="shared" si="21"/>
        <v>0.13756512894004036</v>
      </c>
      <c r="AF26" s="10">
        <f t="shared" si="22"/>
        <v>1.2288098892118988</v>
      </c>
      <c r="AG26" s="10">
        <f t="shared" si="23"/>
        <v>9.386797033555716E-2</v>
      </c>
      <c r="AH26" s="10">
        <f t="shared" si="24"/>
        <v>0.97161302036455055</v>
      </c>
      <c r="AI26" s="10">
        <f t="shared" si="25"/>
        <v>9.1933769096514961E-2</v>
      </c>
      <c r="AJ26" s="53"/>
      <c r="AK26" s="53"/>
      <c r="AL26" s="6">
        <f t="shared" si="26"/>
        <v>1.3861322315256637</v>
      </c>
      <c r="AM26" s="6">
        <f t="shared" si="27"/>
        <v>2.5612172359073524</v>
      </c>
      <c r="AN26" s="6">
        <f t="shared" si="28"/>
        <v>3.9473494674330158</v>
      </c>
      <c r="AO26" s="6">
        <f t="shared" si="29"/>
        <v>1.3861322315256637</v>
      </c>
      <c r="AP26" s="6">
        <f t="shared" si="30"/>
        <v>2.5612172359073524</v>
      </c>
      <c r="AQ26" s="6">
        <f t="shared" si="31"/>
        <v>3.9473494674330158</v>
      </c>
      <c r="AR26" s="40">
        <f t="shared" si="32"/>
        <v>18.250418422797399</v>
      </c>
      <c r="AS26">
        <f t="shared" si="33"/>
        <v>20.930566323184575</v>
      </c>
      <c r="AT26">
        <f t="shared" si="34"/>
        <v>35.361068813739671</v>
      </c>
      <c r="AU26">
        <f t="shared" si="35"/>
        <v>31.764705882352938</v>
      </c>
      <c r="AV26">
        <f t="shared" si="36"/>
        <v>2.0605550883095236</v>
      </c>
      <c r="AW26">
        <f t="shared" si="37"/>
        <v>33.170731707317088</v>
      </c>
    </row>
    <row r="27" spans="1:49" x14ac:dyDescent="0.25">
      <c r="A27" s="1" t="s">
        <v>41</v>
      </c>
      <c r="B27" s="34">
        <f>D27*C_factor!E25</f>
        <v>6.5433621818154624</v>
      </c>
      <c r="C27" s="35">
        <f>'P Index Results'!B26/10</f>
        <v>1.032</v>
      </c>
      <c r="D27" s="38">
        <v>5.65</v>
      </c>
      <c r="E27" s="35">
        <f>'P Index Results'!C26/10</f>
        <v>0.57800000000000007</v>
      </c>
      <c r="F27" s="34">
        <f>D27*C_factor!F25</f>
        <v>3.9850672513518863</v>
      </c>
      <c r="G27" s="35">
        <f>'P Index Results'!D26/10</f>
        <v>0.55899999999999994</v>
      </c>
      <c r="H27" s="22">
        <f t="shared" si="0"/>
        <v>1.5087970470663332</v>
      </c>
      <c r="I27" s="23">
        <f t="shared" si="1"/>
        <v>0.60433987814561019</v>
      </c>
      <c r="J27" s="22">
        <f t="shared" si="2"/>
        <v>1.3028016910963036</v>
      </c>
      <c r="K27" s="23">
        <f t="shared" si="3"/>
        <v>0.33847717981411113</v>
      </c>
      <c r="L27" s="22">
        <f t="shared" si="4"/>
        <v>0.91889422198119219</v>
      </c>
      <c r="M27" s="23">
        <f t="shared" si="5"/>
        <v>0.32735076732887214</v>
      </c>
      <c r="N27" s="13">
        <f>'Buffer Trapping Line'!V25*(1-EXP(-'Buffer Trapping Line'!W25*5.03))</f>
        <v>76.941562989445956</v>
      </c>
      <c r="O27" s="13">
        <f>'Buffer Trapping Line'!S25*(1-EXP(-'Buffer Trapping Line'!T25*5.03))</f>
        <v>41.439934288216072</v>
      </c>
      <c r="P27" s="28">
        <f t="shared" si="6"/>
        <v>0.2496083872570731</v>
      </c>
      <c r="Q27" s="29">
        <f t="shared" si="7"/>
        <v>0.2146724702165283</v>
      </c>
      <c r="R27" s="28">
        <f t="shared" si="8"/>
        <v>0.21552947075461706</v>
      </c>
      <c r="S27" s="29">
        <f t="shared" si="9"/>
        <v>0.12023322459801683</v>
      </c>
      <c r="T27" s="28">
        <f t="shared" si="10"/>
        <v>0.15201759922219973</v>
      </c>
      <c r="U27" s="29">
        <f t="shared" si="11"/>
        <v>0.11628092136728616</v>
      </c>
      <c r="V27" s="10">
        <f>'Buffer Trapping Line'!V25*(1-EXP(-'Buffer Trapping Line'!W25*15.24))</f>
        <v>96.185319101688194</v>
      </c>
      <c r="W27" s="10">
        <f>'Buffer Trapping Line'!S25*(1-EXP(-'Buffer Trapping Line'!T25*15.24))</f>
        <v>79.198404048786017</v>
      </c>
      <c r="X27" s="13">
        <f t="shared" si="14"/>
        <v>5.0345651347491289</v>
      </c>
      <c r="Y27" s="13">
        <f t="shared" si="15"/>
        <v>0.42766012185438984</v>
      </c>
      <c r="Z27" s="13">
        <f t="shared" si="16"/>
        <v>4.347198308903697</v>
      </c>
      <c r="AA27" s="13">
        <f t="shared" si="17"/>
        <v>0.23952282018588894</v>
      </c>
      <c r="AB27" s="13">
        <f t="shared" si="18"/>
        <v>3.0661730293706944</v>
      </c>
      <c r="AC27" s="13">
        <f t="shared" si="19"/>
        <v>0.2316492326711278</v>
      </c>
      <c r="AD27" s="10">
        <f t="shared" si="20"/>
        <v>6.2937537945583895</v>
      </c>
      <c r="AE27" s="10">
        <f t="shared" si="21"/>
        <v>0.81732752978347167</v>
      </c>
      <c r="AF27" s="10">
        <f t="shared" si="22"/>
        <v>5.4344705292453837</v>
      </c>
      <c r="AG27" s="10">
        <f t="shared" si="23"/>
        <v>0.45776677540198324</v>
      </c>
      <c r="AH27" s="10">
        <f t="shared" si="24"/>
        <v>3.8330496521296866</v>
      </c>
      <c r="AI27" s="10">
        <f t="shared" si="25"/>
        <v>0.44271907863271376</v>
      </c>
      <c r="AJ27" s="53"/>
      <c r="AK27" s="53"/>
      <c r="AL27" s="6">
        <f t="shared" si="26"/>
        <v>76.941562989445956</v>
      </c>
      <c r="AM27" s="6">
        <f t="shared" si="27"/>
        <v>19.243756112242238</v>
      </c>
      <c r="AN27" s="6">
        <f t="shared" si="28"/>
        <v>96.185319101688194</v>
      </c>
      <c r="AO27" s="6">
        <f t="shared" si="29"/>
        <v>41.439934288216072</v>
      </c>
      <c r="AP27" s="6">
        <f t="shared" si="30"/>
        <v>37.758469760569945</v>
      </c>
      <c r="AQ27" s="6">
        <f t="shared" si="31"/>
        <v>79.198404048786017</v>
      </c>
      <c r="AR27" s="40">
        <f t="shared" si="32"/>
        <v>13.65295328291911</v>
      </c>
      <c r="AS27">
        <f t="shared" si="33"/>
        <v>29.46783625925865</v>
      </c>
      <c r="AT27">
        <f t="shared" si="34"/>
        <v>39.097559624214085</v>
      </c>
      <c r="AU27">
        <f t="shared" si="35"/>
        <v>43.992248062015491</v>
      </c>
      <c r="AV27">
        <f t="shared" si="36"/>
        <v>3.2871972318339271</v>
      </c>
      <c r="AW27">
        <f t="shared" si="37"/>
        <v>45.833333333333336</v>
      </c>
    </row>
    <row r="28" spans="1:49" x14ac:dyDescent="0.25">
      <c r="A28" s="1" t="s">
        <v>42</v>
      </c>
      <c r="B28" s="34">
        <f>D28*C_factor!E26</f>
        <v>3.9927070673270189</v>
      </c>
      <c r="C28" s="35">
        <f>'P Index Results'!B27/10</f>
        <v>0.57800000000000007</v>
      </c>
      <c r="D28" s="38">
        <v>3.2</v>
      </c>
      <c r="E28" s="35">
        <f>'P Index Results'!C27/10</f>
        <v>0.312</v>
      </c>
      <c r="F28" s="34">
        <f>D28*C_factor!F26</f>
        <v>2.2175741126184962</v>
      </c>
      <c r="G28" s="35">
        <f>'P Index Results'!D27/10</f>
        <v>0.3</v>
      </c>
      <c r="H28" s="22">
        <f t="shared" si="0"/>
        <v>0.92065584413554036</v>
      </c>
      <c r="I28" s="23">
        <f t="shared" si="1"/>
        <v>0.33847717981411113</v>
      </c>
      <c r="J28" s="22">
        <f t="shared" si="2"/>
        <v>0.73786998433772943</v>
      </c>
      <c r="K28" s="23">
        <f t="shared" si="3"/>
        <v>0.18270740502076585</v>
      </c>
      <c r="L28" s="22">
        <f t="shared" si="4"/>
        <v>0.51133792992048877</v>
      </c>
      <c r="M28" s="23">
        <f t="shared" si="5"/>
        <v>0.17568019713535177</v>
      </c>
      <c r="N28" s="13">
        <f>'Buffer Trapping Line'!V26*(1-EXP(-'Buffer Trapping Line'!W26*5.03))</f>
        <v>76.941562989445956</v>
      </c>
      <c r="O28" s="13">
        <f>'Buffer Trapping Line'!S26*(1-EXP(-'Buffer Trapping Line'!T26*5.03))</f>
        <v>41.439934288216072</v>
      </c>
      <c r="P28" s="28">
        <f t="shared" si="6"/>
        <v>0.15230903382286931</v>
      </c>
      <c r="Q28" s="29">
        <f t="shared" si="7"/>
        <v>0.12023322459801683</v>
      </c>
      <c r="R28" s="28">
        <f t="shared" si="8"/>
        <v>0.12206978874597781</v>
      </c>
      <c r="S28" s="29">
        <f t="shared" si="9"/>
        <v>6.4900979367787631E-2</v>
      </c>
      <c r="T28" s="28">
        <f t="shared" si="10"/>
        <v>8.4593376079965324E-2</v>
      </c>
      <c r="U28" s="29">
        <f t="shared" si="11"/>
        <v>6.2404787853641945E-2</v>
      </c>
      <c r="V28" s="10">
        <f>'Buffer Trapping Line'!V26*(1-EXP(-'Buffer Trapping Line'!W26*15.24))</f>
        <v>96.185319101688194</v>
      </c>
      <c r="W28" s="10">
        <f>'Buffer Trapping Line'!S26*(1-EXP(-'Buffer Trapping Line'!T26*15.24))</f>
        <v>79.198404048786017</v>
      </c>
      <c r="X28" s="13">
        <f t="shared" si="14"/>
        <v>3.0720512231914787</v>
      </c>
      <c r="Y28" s="13">
        <f t="shared" si="15"/>
        <v>0.23952282018588894</v>
      </c>
      <c r="Z28" s="13">
        <f t="shared" si="16"/>
        <v>2.4621300156622707</v>
      </c>
      <c r="AA28" s="13">
        <f t="shared" si="17"/>
        <v>0.12929259497923415</v>
      </c>
      <c r="AB28" s="13">
        <f t="shared" si="18"/>
        <v>1.7062361826980075</v>
      </c>
      <c r="AC28" s="13">
        <f t="shared" si="19"/>
        <v>0.12431980286464822</v>
      </c>
      <c r="AD28" s="10">
        <f t="shared" si="20"/>
        <v>3.8403980335041497</v>
      </c>
      <c r="AE28" s="10">
        <f t="shared" si="21"/>
        <v>0.45776677540198324</v>
      </c>
      <c r="AF28" s="10">
        <f t="shared" si="22"/>
        <v>3.0779302112540226</v>
      </c>
      <c r="AG28" s="10">
        <f t="shared" si="23"/>
        <v>0.24709902063221237</v>
      </c>
      <c r="AH28" s="10">
        <f t="shared" si="24"/>
        <v>2.1329807365385309</v>
      </c>
      <c r="AI28" s="10">
        <f t="shared" si="25"/>
        <v>0.23759521214635804</v>
      </c>
      <c r="AJ28" s="53"/>
      <c r="AK28" s="53"/>
      <c r="AL28" s="6">
        <f t="shared" si="26"/>
        <v>76.941562989445956</v>
      </c>
      <c r="AM28" s="6">
        <f t="shared" si="27"/>
        <v>19.243756112242238</v>
      </c>
      <c r="AN28" s="6">
        <f t="shared" si="28"/>
        <v>96.185319101688194</v>
      </c>
      <c r="AO28" s="6">
        <f t="shared" si="29"/>
        <v>41.439934288216072</v>
      </c>
      <c r="AP28" s="6">
        <f t="shared" si="30"/>
        <v>37.758469760569945</v>
      </c>
      <c r="AQ28" s="6">
        <f t="shared" si="31"/>
        <v>79.198404048786017</v>
      </c>
      <c r="AR28" s="40">
        <f t="shared" si="32"/>
        <v>19.853874926459582</v>
      </c>
      <c r="AS28">
        <f t="shared" si="33"/>
        <v>30.700808980672001</v>
      </c>
      <c r="AT28">
        <f t="shared" si="34"/>
        <v>44.459383690697685</v>
      </c>
      <c r="AU28">
        <f t="shared" si="35"/>
        <v>46.020761245674748</v>
      </c>
      <c r="AV28">
        <f t="shared" si="36"/>
        <v>3.8461538461538547</v>
      </c>
      <c r="AW28">
        <f t="shared" si="37"/>
        <v>48.096885813148795</v>
      </c>
    </row>
    <row r="29" spans="1:49" x14ac:dyDescent="0.25">
      <c r="A29" s="1" t="s">
        <v>93</v>
      </c>
      <c r="B29" s="34">
        <f>D29*C_factor!E27</f>
        <v>1.3665379649997009</v>
      </c>
      <c r="C29" s="35">
        <f>'P Index Results'!B28/10</f>
        <v>0.73699999999999999</v>
      </c>
      <c r="D29" s="38">
        <v>1.36</v>
      </c>
      <c r="E29" s="35">
        <f>'P Index Results'!C28/10</f>
        <v>0.23599999999999999</v>
      </c>
      <c r="F29" s="34">
        <f>D29*C_factor!F27</f>
        <v>1.3137527882181352</v>
      </c>
      <c r="G29" s="35">
        <f>'P Index Results'!D28/10</f>
        <v>0.19500000000000001</v>
      </c>
      <c r="H29" s="22">
        <f t="shared" si="0"/>
        <v>0.80024553028029966</v>
      </c>
      <c r="I29" s="23">
        <f t="shared" si="1"/>
        <v>0.57743724506558691</v>
      </c>
      <c r="J29" s="22">
        <f t="shared" si="2"/>
        <v>0.79641689368026147</v>
      </c>
      <c r="K29" s="23">
        <f t="shared" si="3"/>
        <v>0.18490527793144981</v>
      </c>
      <c r="L29" s="22">
        <f t="shared" si="4"/>
        <v>0.76933449607093352</v>
      </c>
      <c r="M29" s="23">
        <f t="shared" si="5"/>
        <v>0.15278190337556236</v>
      </c>
      <c r="N29" s="13">
        <f>'Buffer Trapping Line'!V27*(1-EXP(-'Buffer Trapping Line'!W27*5.03))</f>
        <v>41.439934288216072</v>
      </c>
      <c r="O29" s="13">
        <f>'Buffer Trapping Line'!S27*(1-EXP(-'Buffer Trapping Line'!T27*5.03))</f>
        <v>21.650305961250073</v>
      </c>
      <c r="P29" s="28">
        <f t="shared" si="6"/>
        <v>0.28426170599917977</v>
      </c>
      <c r="Q29" s="29">
        <f t="shared" si="7"/>
        <v>0.35612647988419627</v>
      </c>
      <c r="R29" s="28">
        <f t="shared" si="8"/>
        <v>0.28290170493651018</v>
      </c>
      <c r="S29" s="29">
        <f t="shared" si="9"/>
        <v>0.11403778731705605</v>
      </c>
      <c r="T29" s="28">
        <f t="shared" si="10"/>
        <v>0.27328154680294442</v>
      </c>
      <c r="U29" s="29">
        <f t="shared" si="11"/>
        <v>9.4226137825533615E-2</v>
      </c>
      <c r="V29" s="10">
        <f>'Buffer Trapping Line'!V27*(1-EXP(-'Buffer Trapping Line'!W27*15.24))</f>
        <v>79.198404048786017</v>
      </c>
      <c r="W29" s="10">
        <f>'Buffer Trapping Line'!S27*(1-EXP(-'Buffer Trapping Line'!T27*15.24))</f>
        <v>51.678903679213533</v>
      </c>
      <c r="X29" s="13">
        <f t="shared" si="14"/>
        <v>0.56629243471940127</v>
      </c>
      <c r="Y29" s="13">
        <f t="shared" si="15"/>
        <v>0.15956275493441308</v>
      </c>
      <c r="Z29" s="13">
        <f t="shared" si="16"/>
        <v>0.56358310631973862</v>
      </c>
      <c r="AA29" s="13">
        <f t="shared" si="17"/>
        <v>5.1094722068550175E-2</v>
      </c>
      <c r="AB29" s="13">
        <f t="shared" si="18"/>
        <v>0.54441829214720172</v>
      </c>
      <c r="AC29" s="13">
        <f t="shared" si="19"/>
        <v>4.2218096624437651E-2</v>
      </c>
      <c r="AD29" s="10">
        <f t="shared" si="20"/>
        <v>1.0822762590005213</v>
      </c>
      <c r="AE29" s="10">
        <f t="shared" si="21"/>
        <v>0.38087352011580372</v>
      </c>
      <c r="AF29" s="10">
        <f t="shared" si="22"/>
        <v>1.07709829506349</v>
      </c>
      <c r="AG29" s="10">
        <f t="shared" si="23"/>
        <v>0.12196221268294394</v>
      </c>
      <c r="AH29" s="10">
        <f t="shared" si="24"/>
        <v>1.0404712414151909</v>
      </c>
      <c r="AI29" s="10">
        <f t="shared" si="25"/>
        <v>0.10077386217446639</v>
      </c>
      <c r="AJ29" s="53"/>
      <c r="AK29" s="53"/>
      <c r="AL29" s="6">
        <f t="shared" si="26"/>
        <v>41.439934288216072</v>
      </c>
      <c r="AM29" s="6">
        <f t="shared" si="27"/>
        <v>37.758469760569945</v>
      </c>
      <c r="AN29" s="6">
        <f t="shared" si="28"/>
        <v>79.198404048786017</v>
      </c>
      <c r="AO29" s="6">
        <f t="shared" si="29"/>
        <v>21.650305961250073</v>
      </c>
      <c r="AP29" s="6">
        <f t="shared" si="30"/>
        <v>30.028597717963461</v>
      </c>
      <c r="AQ29" s="6">
        <f t="shared" si="31"/>
        <v>51.678903679213533</v>
      </c>
      <c r="AR29" s="40">
        <f t="shared" si="32"/>
        <v>0.47843273784949902</v>
      </c>
      <c r="AS29">
        <f t="shared" si="33"/>
        <v>3.4005302780782953</v>
      </c>
      <c r="AT29">
        <f t="shared" si="34"/>
        <v>3.8626937658169824</v>
      </c>
      <c r="AU29">
        <f t="shared" si="35"/>
        <v>67.978290366350066</v>
      </c>
      <c r="AV29">
        <f t="shared" si="36"/>
        <v>17.372881355932201</v>
      </c>
      <c r="AW29">
        <f t="shared" si="37"/>
        <v>73.541383989145174</v>
      </c>
    </row>
    <row r="30" spans="1:49" x14ac:dyDescent="0.25">
      <c r="A30" s="1" t="s">
        <v>44</v>
      </c>
      <c r="B30" s="34">
        <f>D30*C_factor!E28</f>
        <v>8.1030915438612769</v>
      </c>
      <c r="C30" s="35">
        <f>'P Index Results'!B29/10</f>
        <v>1.119</v>
      </c>
      <c r="D30" s="38">
        <v>6.48</v>
      </c>
      <c r="E30" s="35">
        <f>'P Index Results'!C29/10</f>
        <v>0.63200000000000001</v>
      </c>
      <c r="F30" s="34">
        <f>D30*C_factor!F28</f>
        <v>4.5284275486096881</v>
      </c>
      <c r="G30" s="35">
        <f>'P Index Results'!D29/10</f>
        <v>0.60199999999999998</v>
      </c>
      <c r="H30" s="22">
        <f t="shared" si="0"/>
        <v>4.7451757327711706</v>
      </c>
      <c r="I30" s="23">
        <f t="shared" si="1"/>
        <v>0.87673307629361175</v>
      </c>
      <c r="J30" s="22">
        <f t="shared" si="2"/>
        <v>3.7946922581235989</v>
      </c>
      <c r="K30" s="23">
        <f t="shared" si="3"/>
        <v>0.49517006632489957</v>
      </c>
      <c r="L30" s="22">
        <f t="shared" si="4"/>
        <v>2.6518501481763592</v>
      </c>
      <c r="M30" s="23">
        <f t="shared" si="5"/>
        <v>0.47166515811327453</v>
      </c>
      <c r="N30" s="13">
        <f>'Buffer Trapping Line'!V28*(1-EXP(-'Buffer Trapping Line'!W28*5.03))</f>
        <v>41.439934288216072</v>
      </c>
      <c r="O30" s="13">
        <f>'Buffer Trapping Line'!S28*(1-EXP(-'Buffer Trapping Line'!T28*5.03))</f>
        <v>21.650305961250073</v>
      </c>
      <c r="P30" s="28">
        <f t="shared" si="6"/>
        <v>1.6855723625110099</v>
      </c>
      <c r="Q30" s="29">
        <f t="shared" si="7"/>
        <v>0.5407130678296006</v>
      </c>
      <c r="R30" s="28">
        <f t="shared" si="8"/>
        <v>1.3479434176386662</v>
      </c>
      <c r="S30" s="29">
        <f t="shared" si="9"/>
        <v>0.30538932874737046</v>
      </c>
      <c r="T30" s="28">
        <f t="shared" si="10"/>
        <v>0.94198520160525145</v>
      </c>
      <c r="U30" s="29">
        <f t="shared" si="11"/>
        <v>0.29089299985113454</v>
      </c>
      <c r="V30" s="10">
        <f>'Buffer Trapping Line'!V28*(1-EXP(-'Buffer Trapping Line'!W28*15.24))</f>
        <v>79.198404048786017</v>
      </c>
      <c r="W30" s="10">
        <f>'Buffer Trapping Line'!S28*(1-EXP(-'Buffer Trapping Line'!T28*15.24))</f>
        <v>51.678903679213533</v>
      </c>
      <c r="X30" s="13">
        <f t="shared" si="14"/>
        <v>3.3579158110901064</v>
      </c>
      <c r="Y30" s="13">
        <f t="shared" si="15"/>
        <v>0.24226692370638825</v>
      </c>
      <c r="Z30" s="13">
        <f t="shared" si="16"/>
        <v>2.6853077418764015</v>
      </c>
      <c r="AA30" s="13">
        <f t="shared" si="17"/>
        <v>0.13682993367510043</v>
      </c>
      <c r="AB30" s="13">
        <f t="shared" si="18"/>
        <v>1.8765774004333289</v>
      </c>
      <c r="AC30" s="13">
        <f t="shared" si="19"/>
        <v>0.13033484188672545</v>
      </c>
      <c r="AD30" s="10">
        <f t="shared" si="20"/>
        <v>6.4175191813502668</v>
      </c>
      <c r="AE30" s="10">
        <f t="shared" si="21"/>
        <v>0.57828693217039939</v>
      </c>
      <c r="AF30" s="10">
        <f t="shared" si="22"/>
        <v>5.1320565823613347</v>
      </c>
      <c r="AG30" s="10">
        <f t="shared" si="23"/>
        <v>0.32661067125262955</v>
      </c>
      <c r="AH30" s="10">
        <f t="shared" si="24"/>
        <v>3.5864423470044366</v>
      </c>
      <c r="AI30" s="10">
        <f t="shared" si="25"/>
        <v>0.31110700014886544</v>
      </c>
      <c r="AJ30" s="53"/>
      <c r="AK30" s="53"/>
      <c r="AL30" s="6">
        <f t="shared" si="26"/>
        <v>41.439934288216072</v>
      </c>
      <c r="AM30" s="6">
        <f t="shared" si="27"/>
        <v>37.758469760569945</v>
      </c>
      <c r="AN30" s="6">
        <f t="shared" si="28"/>
        <v>79.198404048786017</v>
      </c>
      <c r="AO30" s="6">
        <f t="shared" si="29"/>
        <v>21.650305961250073</v>
      </c>
      <c r="AP30" s="6">
        <f t="shared" si="30"/>
        <v>30.028597717963461</v>
      </c>
      <c r="AQ30" s="6">
        <f t="shared" si="31"/>
        <v>51.678903679213533</v>
      </c>
      <c r="AR30" s="40">
        <f t="shared" si="32"/>
        <v>20.030522117091152</v>
      </c>
      <c r="AS30">
        <f t="shared" si="33"/>
        <v>30.116858817751734</v>
      </c>
      <c r="AT30">
        <f t="shared" si="34"/>
        <v>44.114816868380011</v>
      </c>
      <c r="AU30">
        <f t="shared" si="35"/>
        <v>43.521000893655049</v>
      </c>
      <c r="AV30">
        <f t="shared" si="36"/>
        <v>4.7468354430379778</v>
      </c>
      <c r="AW30">
        <f t="shared" si="37"/>
        <v>46.201966041108136</v>
      </c>
    </row>
    <row r="31" spans="1:49" x14ac:dyDescent="0.25">
      <c r="A31" s="1" t="s">
        <v>80</v>
      </c>
      <c r="B31" s="34">
        <f>D31*C_factor!E29</f>
        <v>1.1921656831162284</v>
      </c>
      <c r="C31" s="35">
        <f>'P Index Results'!B30/10</f>
        <v>0.68499999999999994</v>
      </c>
      <c r="D31" s="38">
        <v>1.18</v>
      </c>
      <c r="E31" s="35">
        <f>'P Index Results'!C30/10</f>
        <v>0.23900000000000002</v>
      </c>
      <c r="F31" s="34">
        <f>D31*C_factor!F29</f>
        <v>1.1179206781790507</v>
      </c>
      <c r="G31" s="35">
        <f>'P Index Results'!D30/10</f>
        <v>0.20400000000000001</v>
      </c>
      <c r="H31" s="22">
        <f t="shared" si="0"/>
        <v>0.27489477310279686</v>
      </c>
      <c r="I31" s="23">
        <f t="shared" si="1"/>
        <v>0.40113645012571986</v>
      </c>
      <c r="J31" s="22">
        <f t="shared" si="2"/>
        <v>0.27208955672453772</v>
      </c>
      <c r="K31" s="23">
        <f t="shared" si="3"/>
        <v>0.13995855705116358</v>
      </c>
      <c r="L31" s="22">
        <f t="shared" si="4"/>
        <v>0.25777503540587499</v>
      </c>
      <c r="M31" s="23">
        <f t="shared" si="5"/>
        <v>0.11946253405203922</v>
      </c>
      <c r="N31" s="13">
        <f>'Buffer Trapping Line'!V29*(1-EXP(-'Buffer Trapping Line'!W29*5.03))</f>
        <v>76.941562989445956</v>
      </c>
      <c r="O31" s="13">
        <f>'Buffer Trapping Line'!S29*(1-EXP(-'Buffer Trapping Line'!T29*5.03))</f>
        <v>41.439934288216072</v>
      </c>
      <c r="P31" s="28">
        <f t="shared" si="6"/>
        <v>4.5477316590063224E-2</v>
      </c>
      <c r="Q31" s="29">
        <f t="shared" si="7"/>
        <v>0.14249093226581577</v>
      </c>
      <c r="R31" s="28">
        <f t="shared" si="8"/>
        <v>4.5013234600079312E-2</v>
      </c>
      <c r="S31" s="29">
        <f t="shared" si="9"/>
        <v>4.9715814323401421E-2</v>
      </c>
      <c r="T31" s="28">
        <f t="shared" si="10"/>
        <v>4.2645106568774051E-2</v>
      </c>
      <c r="U31" s="29">
        <f t="shared" si="11"/>
        <v>4.2435255740476525E-2</v>
      </c>
      <c r="V31" s="10">
        <f>'Buffer Trapping Line'!V29*(1-EXP(-'Buffer Trapping Line'!W29*15.24))</f>
        <v>96.185319101688194</v>
      </c>
      <c r="W31" s="10">
        <f>'Buffer Trapping Line'!S29*(1-EXP(-'Buffer Trapping Line'!T29*15.24))</f>
        <v>79.198404048786017</v>
      </c>
      <c r="X31" s="13">
        <f t="shared" si="14"/>
        <v>0.91727091001343153</v>
      </c>
      <c r="Y31" s="13">
        <f t="shared" si="15"/>
        <v>0.28386354987428009</v>
      </c>
      <c r="Z31" s="13">
        <f t="shared" si="16"/>
        <v>0.90791044327546222</v>
      </c>
      <c r="AA31" s="13">
        <f t="shared" si="17"/>
        <v>9.9041442948836433E-2</v>
      </c>
      <c r="AB31" s="13">
        <f t="shared" si="18"/>
        <v>0.86014564277317573</v>
      </c>
      <c r="AC31" s="13">
        <f t="shared" si="19"/>
        <v>8.4537465947960799E-2</v>
      </c>
      <c r="AD31" s="10">
        <f t="shared" si="20"/>
        <v>1.1466883665261651</v>
      </c>
      <c r="AE31" s="10">
        <f t="shared" si="21"/>
        <v>0.54250906773418417</v>
      </c>
      <c r="AF31" s="10">
        <f t="shared" si="22"/>
        <v>1.1349867653999206</v>
      </c>
      <c r="AG31" s="10">
        <f t="shared" si="23"/>
        <v>0.1892841856765986</v>
      </c>
      <c r="AH31" s="10">
        <f t="shared" si="24"/>
        <v>1.0752755716102766</v>
      </c>
      <c r="AI31" s="10">
        <f t="shared" si="25"/>
        <v>0.1615647442595235</v>
      </c>
      <c r="AJ31" s="53"/>
      <c r="AK31" s="53"/>
      <c r="AL31" s="6">
        <f t="shared" si="26"/>
        <v>76.941562989445956</v>
      </c>
      <c r="AM31" s="6">
        <f t="shared" si="27"/>
        <v>19.243756112242238</v>
      </c>
      <c r="AN31" s="6">
        <f t="shared" si="28"/>
        <v>96.185319101688194</v>
      </c>
      <c r="AO31" s="6">
        <f t="shared" si="29"/>
        <v>41.439934288216072</v>
      </c>
      <c r="AP31" s="6">
        <f t="shared" si="30"/>
        <v>37.758469760569945</v>
      </c>
      <c r="AQ31" s="6">
        <f t="shared" si="31"/>
        <v>79.198404048786017</v>
      </c>
      <c r="AR31" s="40">
        <f t="shared" si="32"/>
        <v>1.0204691586515269</v>
      </c>
      <c r="AS31">
        <f t="shared" si="33"/>
        <v>5.2609594763516343</v>
      </c>
      <c r="AT31">
        <f t="shared" si="34"/>
        <v>6.2277421660978387</v>
      </c>
      <c r="AU31">
        <f t="shared" si="35"/>
        <v>65.109489051094883</v>
      </c>
      <c r="AV31">
        <f t="shared" si="36"/>
        <v>14.644351464435147</v>
      </c>
      <c r="AW31">
        <f t="shared" si="37"/>
        <v>70.21897810218978</v>
      </c>
    </row>
    <row r="32" spans="1:49" x14ac:dyDescent="0.25">
      <c r="A32" s="1" t="s">
        <v>81</v>
      </c>
      <c r="B32" s="34">
        <f>D32*C_factor!E30</f>
        <v>7.9931399787021871</v>
      </c>
      <c r="C32" s="35">
        <f>'P Index Results'!B31/10</f>
        <v>1.115</v>
      </c>
      <c r="D32" s="38">
        <v>6.38</v>
      </c>
      <c r="E32" s="35">
        <f>'P Index Results'!C31/10</f>
        <v>0.65800000000000003</v>
      </c>
      <c r="F32" s="34">
        <f>D32*C_factor!F30</f>
        <v>4.3092485099152746</v>
      </c>
      <c r="G32" s="35">
        <f>'P Index Results'!D31/10</f>
        <v>0.63200000000000001</v>
      </c>
      <c r="H32" s="22">
        <f t="shared" si="0"/>
        <v>6.2626007174021652</v>
      </c>
      <c r="I32" s="23">
        <f t="shared" si="1"/>
        <v>0.98982110641304055</v>
      </c>
      <c r="J32" s="22">
        <f t="shared" si="2"/>
        <v>4.998710479672245</v>
      </c>
      <c r="K32" s="23">
        <f t="shared" si="3"/>
        <v>0.58412761257379442</v>
      </c>
      <c r="L32" s="22">
        <f t="shared" si="4"/>
        <v>3.3762830228880079</v>
      </c>
      <c r="M32" s="23">
        <f t="shared" si="5"/>
        <v>0.56104658228972348</v>
      </c>
      <c r="N32" s="13">
        <f>'Buffer Trapping Line'!V30*(1-EXP(-'Buffer Trapping Line'!W30*5.03))</f>
        <v>21.650305961250073</v>
      </c>
      <c r="O32" s="13">
        <f>'Buffer Trapping Line'!S30*(1-EXP(-'Buffer Trapping Line'!T30*5.03))</f>
        <v>11.226806599727302</v>
      </c>
      <c r="P32" s="28">
        <f t="shared" si="6"/>
        <v>3.8623728681639746</v>
      </c>
      <c r="Q32" s="29">
        <f t="shared" si="7"/>
        <v>0.77937156042787747</v>
      </c>
      <c r="R32" s="28">
        <f t="shared" si="8"/>
        <v>3.0828859452661765</v>
      </c>
      <c r="S32" s="29">
        <f t="shared" si="9"/>
        <v>0.45993406884443355</v>
      </c>
      <c r="T32" s="28">
        <f t="shared" si="10"/>
        <v>2.0822761231782154</v>
      </c>
      <c r="U32" s="29">
        <f t="shared" si="11"/>
        <v>0.44176038223355923</v>
      </c>
      <c r="V32" s="10">
        <f>'Buffer Trapping Line'!V30*(1-EXP(-'Buffer Trapping Line'!W30*15.24))</f>
        <v>51.678903679213533</v>
      </c>
      <c r="W32" s="10">
        <f>'Buffer Trapping Line'!S30*(1-EXP(-'Buffer Trapping Line'!T30*15.24))</f>
        <v>30.101205342791257</v>
      </c>
      <c r="X32" s="13">
        <f t="shared" si="14"/>
        <v>1.7305392613000219</v>
      </c>
      <c r="Y32" s="13">
        <f t="shared" si="15"/>
        <v>0.12517889358695944</v>
      </c>
      <c r="Z32" s="13">
        <f t="shared" si="16"/>
        <v>1.3812895203277549</v>
      </c>
      <c r="AA32" s="13">
        <f t="shared" si="17"/>
        <v>7.387238742620561E-2</v>
      </c>
      <c r="AB32" s="13">
        <f t="shared" si="18"/>
        <v>0.93296548702726678</v>
      </c>
      <c r="AC32" s="13">
        <f t="shared" si="19"/>
        <v>7.0953417710276523E-2</v>
      </c>
      <c r="AD32" s="10">
        <f t="shared" si="20"/>
        <v>4.130767110538212</v>
      </c>
      <c r="AE32" s="10">
        <f t="shared" si="21"/>
        <v>0.33562843957212252</v>
      </c>
      <c r="AF32" s="10">
        <f t="shared" si="22"/>
        <v>3.2971140547338234</v>
      </c>
      <c r="AG32" s="10">
        <f t="shared" si="23"/>
        <v>0.19806593115556648</v>
      </c>
      <c r="AH32" s="10">
        <f t="shared" si="24"/>
        <v>2.2269723867370592</v>
      </c>
      <c r="AI32" s="10">
        <f t="shared" si="25"/>
        <v>0.19023961776644077</v>
      </c>
      <c r="AJ32" s="53"/>
      <c r="AK32" s="53"/>
      <c r="AL32" s="6">
        <f t="shared" si="26"/>
        <v>21.650305961250073</v>
      </c>
      <c r="AM32" s="6">
        <f t="shared" si="27"/>
        <v>30.028597717963461</v>
      </c>
      <c r="AN32" s="6">
        <f t="shared" si="28"/>
        <v>51.678903679213533</v>
      </c>
      <c r="AO32" s="6">
        <f t="shared" si="29"/>
        <v>11.226806599727302</v>
      </c>
      <c r="AP32" s="6">
        <f t="shared" si="30"/>
        <v>18.874398743063956</v>
      </c>
      <c r="AQ32" s="6">
        <f t="shared" si="31"/>
        <v>30.101205342791257</v>
      </c>
      <c r="AR32" s="40">
        <f t="shared" si="32"/>
        <v>20.181555471321879</v>
      </c>
      <c r="AS32">
        <f t="shared" si="33"/>
        <v>32.456919907284096</v>
      </c>
      <c r="AT32">
        <f t="shared" si="34"/>
        <v>46.088164083234915</v>
      </c>
      <c r="AU32">
        <f t="shared" si="35"/>
        <v>40.986547085201785</v>
      </c>
      <c r="AV32">
        <f t="shared" si="36"/>
        <v>3.9513677811550241</v>
      </c>
      <c r="AW32">
        <f t="shared" si="37"/>
        <v>43.318385650224215</v>
      </c>
    </row>
    <row r="33" spans="1:49" x14ac:dyDescent="0.25">
      <c r="A33" s="1" t="s">
        <v>82</v>
      </c>
      <c r="B33" s="36">
        <f>D33*C_factor!E31</f>
        <v>5.4466617098251344</v>
      </c>
      <c r="C33" s="37">
        <f>'P Index Results'!B32/10</f>
        <v>0.95099999999999996</v>
      </c>
      <c r="D33" s="39">
        <v>4.58</v>
      </c>
      <c r="E33" s="37">
        <f>'P Index Results'!C32/10</f>
        <v>0.51800000000000002</v>
      </c>
      <c r="F33" s="36">
        <f>D33*C_factor!F31</f>
        <v>2.934706184963682</v>
      </c>
      <c r="G33" s="37">
        <f>'P Index Results'!D32/10</f>
        <v>0.496</v>
      </c>
      <c r="H33" s="24">
        <f t="shared" si="0"/>
        <v>3.1895686763721729</v>
      </c>
      <c r="I33" s="25">
        <f t="shared" si="1"/>
        <v>0.74510559030851176</v>
      </c>
      <c r="J33" s="24">
        <f t="shared" si="2"/>
        <v>2.6820510095997037</v>
      </c>
      <c r="K33" s="25">
        <f t="shared" si="3"/>
        <v>0.40585141512072465</v>
      </c>
      <c r="L33" s="24">
        <f t="shared" si="4"/>
        <v>1.7185658703625193</v>
      </c>
      <c r="M33" s="25">
        <f t="shared" si="5"/>
        <v>0.38861448243219965</v>
      </c>
      <c r="N33" s="13">
        <f>'Buffer Trapping Line'!V31*(1-EXP(-'Buffer Trapping Line'!W31*5.03))</f>
        <v>41.439934288216072</v>
      </c>
      <c r="O33" s="13">
        <f>'Buffer Trapping Line'!S31*(1-EXP(-'Buffer Trapping Line'!T31*5.03))</f>
        <v>21.650305961250073</v>
      </c>
      <c r="P33" s="30">
        <f t="shared" si="6"/>
        <v>1.1329925617073076</v>
      </c>
      <c r="Q33" s="31">
        <f t="shared" si="7"/>
        <v>0.45953362601067926</v>
      </c>
      <c r="R33" s="30">
        <f t="shared" si="8"/>
        <v>0.95271309456560049</v>
      </c>
      <c r="S33" s="31">
        <f t="shared" si="9"/>
        <v>0.25030327894167392</v>
      </c>
      <c r="T33" s="30">
        <f t="shared" si="10"/>
        <v>0.61046572295143164</v>
      </c>
      <c r="U33" s="31">
        <f t="shared" si="11"/>
        <v>0.23967263775110087</v>
      </c>
      <c r="V33" s="10">
        <f>'Buffer Trapping Line'!V31*(1-EXP(-'Buffer Trapping Line'!W31*15.24))</f>
        <v>79.198404048786017</v>
      </c>
      <c r="W33" s="10">
        <f>'Buffer Trapping Line'!S31*(1-EXP(-'Buffer Trapping Line'!T31*15.24))</f>
        <v>51.678903679213533</v>
      </c>
      <c r="X33" s="13">
        <f t="shared" si="14"/>
        <v>2.2570930334529615</v>
      </c>
      <c r="Y33" s="13">
        <f t="shared" si="15"/>
        <v>0.2058944096914882</v>
      </c>
      <c r="Z33" s="13">
        <f t="shared" si="16"/>
        <v>1.8979489904002964</v>
      </c>
      <c r="AA33" s="13">
        <f t="shared" si="17"/>
        <v>0.11214858487927537</v>
      </c>
      <c r="AB33" s="13">
        <f t="shared" si="18"/>
        <v>1.2161403146011627</v>
      </c>
      <c r="AC33" s="13">
        <f t="shared" si="19"/>
        <v>0.10738551756780035</v>
      </c>
      <c r="AD33" s="10">
        <f t="shared" si="20"/>
        <v>4.3136691481178264</v>
      </c>
      <c r="AE33" s="10">
        <f t="shared" si="21"/>
        <v>0.49146637398932069</v>
      </c>
      <c r="AF33" s="10">
        <f t="shared" si="22"/>
        <v>3.6272869054343997</v>
      </c>
      <c r="AG33" s="10">
        <f t="shared" si="23"/>
        <v>0.26769672105832609</v>
      </c>
      <c r="AH33" s="10">
        <f t="shared" si="24"/>
        <v>2.3242404620122503</v>
      </c>
      <c r="AI33" s="10">
        <f t="shared" si="25"/>
        <v>0.25632736224889913</v>
      </c>
      <c r="AJ33" s="53"/>
      <c r="AK33" s="53"/>
      <c r="AL33" s="6">
        <f t="shared" si="26"/>
        <v>41.439934288216072</v>
      </c>
      <c r="AM33" s="6">
        <f t="shared" si="27"/>
        <v>37.758469760569945</v>
      </c>
      <c r="AN33" s="6">
        <f t="shared" si="28"/>
        <v>79.198404048786017</v>
      </c>
      <c r="AO33" s="6">
        <f t="shared" si="29"/>
        <v>21.650305961250073</v>
      </c>
      <c r="AP33" s="6">
        <f t="shared" si="30"/>
        <v>30.028597717963461</v>
      </c>
      <c r="AQ33" s="6">
        <f t="shared" si="31"/>
        <v>51.678903679213533</v>
      </c>
      <c r="AR33" s="40">
        <f t="shared" si="32"/>
        <v>15.911796178965531</v>
      </c>
      <c r="AS33">
        <f t="shared" si="33"/>
        <v>35.923445743151049</v>
      </c>
      <c r="AT33">
        <f t="shared" si="34"/>
        <v>46.119176455005118</v>
      </c>
      <c r="AU33">
        <f t="shared" si="35"/>
        <v>45.531019978969503</v>
      </c>
      <c r="AV33">
        <f t="shared" si="36"/>
        <v>4.2471042471042502</v>
      </c>
      <c r="AW33">
        <f t="shared" si="37"/>
        <v>47.84437434279706</v>
      </c>
    </row>
    <row r="34" spans="1:49" s="16" customFormat="1" ht="15.75" x14ac:dyDescent="0.25">
      <c r="A34" s="14"/>
      <c r="B34" s="14"/>
      <c r="C34" s="14"/>
      <c r="D34" s="14"/>
      <c r="E34" s="14"/>
      <c r="F34" s="14"/>
      <c r="G34" s="14"/>
      <c r="H34" s="15"/>
      <c r="I34" s="15"/>
      <c r="J34" s="15"/>
      <c r="K34" s="15"/>
      <c r="L34" s="15"/>
      <c r="M34" s="15"/>
      <c r="N34" s="15">
        <f>AVERAGE(N4:N33)</f>
        <v>37.020065007534235</v>
      </c>
      <c r="O34" s="15">
        <f>AVERAGE(O4:O33)</f>
        <v>23.024916801212211</v>
      </c>
      <c r="P34" s="15"/>
      <c r="Q34" s="15"/>
      <c r="R34" s="15"/>
      <c r="S34" s="15"/>
      <c r="T34" s="15"/>
      <c r="U34" s="15"/>
      <c r="V34" s="15">
        <f>AVERAGE(V4:V33)</f>
        <v>58.232193374807665</v>
      </c>
      <c r="W34" s="15">
        <f>AVERAGE(W4:W33)</f>
        <v>42.719141380411749</v>
      </c>
      <c r="X34" s="15"/>
      <c r="Y34" s="15"/>
      <c r="Z34" s="15"/>
      <c r="AA34" s="15"/>
      <c r="AB34" s="15"/>
      <c r="AC34" s="15"/>
      <c r="AD34" s="15"/>
      <c r="AE34" s="15"/>
      <c r="AF34" s="15"/>
      <c r="AG34" s="15"/>
      <c r="AH34" s="15"/>
      <c r="AI34" s="15"/>
      <c r="AJ34" s="15"/>
      <c r="AK34" s="15"/>
    </row>
  </sheetData>
  <sheetProtection password="C2EC" sheet="1" objects="1" scenarios="1" selectLockedCells="1" selectUnlockedCells="1"/>
  <mergeCells count="28">
    <mergeCell ref="T2:U2"/>
    <mergeCell ref="V2:W2"/>
    <mergeCell ref="J2:K2"/>
    <mergeCell ref="P1:W1"/>
    <mergeCell ref="P2:Q2"/>
    <mergeCell ref="R2:S2"/>
    <mergeCell ref="L2:M2"/>
    <mergeCell ref="N2:O2"/>
    <mergeCell ref="B1:G1"/>
    <mergeCell ref="B2:C2"/>
    <mergeCell ref="D2:E2"/>
    <mergeCell ref="F2:G2"/>
    <mergeCell ref="H1:O1"/>
    <mergeCell ref="H2:I2"/>
    <mergeCell ref="AU2:AW2"/>
    <mergeCell ref="AR1:AW1"/>
    <mergeCell ref="AL1:AQ1"/>
    <mergeCell ref="AL2:AN2"/>
    <mergeCell ref="AO2:AQ2"/>
    <mergeCell ref="AR2:AT2"/>
    <mergeCell ref="AD1:AI1"/>
    <mergeCell ref="AD2:AE2"/>
    <mergeCell ref="AF2:AG2"/>
    <mergeCell ref="AH2:AI2"/>
    <mergeCell ref="X2:Y2"/>
    <mergeCell ref="Z2:AA2"/>
    <mergeCell ref="AB2:AC2"/>
    <mergeCell ref="X1:AC1"/>
  </mergeCell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2" tint="-0.89999084444715716"/>
  </sheetPr>
  <dimension ref="A1:AC31"/>
  <sheetViews>
    <sheetView zoomScale="85" zoomScaleNormal="85" workbookViewId="0">
      <selection activeCell="Z41" sqref="Z41"/>
    </sheetView>
  </sheetViews>
  <sheetFormatPr defaultRowHeight="15" x14ac:dyDescent="0.25"/>
  <cols>
    <col min="1" max="1" width="29" bestFit="1" customWidth="1"/>
    <col min="2" max="2" width="11.85546875" bestFit="1" customWidth="1"/>
    <col min="3" max="3" width="13.85546875" bestFit="1" customWidth="1"/>
    <col min="5" max="5" width="17" style="1" customWidth="1"/>
    <col min="6" max="6" width="15.42578125" style="1" customWidth="1"/>
    <col min="7" max="7" width="11.28515625" style="1" customWidth="1"/>
    <col min="8" max="8" width="13.85546875" style="1" customWidth="1"/>
    <col min="9" max="9" width="9.85546875" style="1" bestFit="1" customWidth="1"/>
    <col min="10" max="10" width="11.85546875" style="1" customWidth="1"/>
    <col min="11" max="11" width="10" style="1" bestFit="1" customWidth="1"/>
    <col min="12" max="12" width="11.28515625" style="1" customWidth="1"/>
    <col min="13" max="13" width="12.42578125" style="1" bestFit="1" customWidth="1"/>
    <col min="14" max="14" width="13.5703125" style="1" customWidth="1"/>
    <col min="15" max="15" width="13.140625" style="1" bestFit="1" customWidth="1"/>
    <col min="16" max="16" width="12.5703125" style="1" customWidth="1"/>
    <col min="17" max="17" width="14.7109375" style="1" customWidth="1"/>
    <col min="18" max="21" width="12.28515625" style="1" customWidth="1"/>
    <col min="22" max="22" width="13.28515625" customWidth="1"/>
    <col min="23" max="23" width="13.140625" customWidth="1"/>
    <col min="24" max="26" width="12.140625" customWidth="1"/>
    <col min="27" max="27" width="16.42578125" customWidth="1"/>
    <col min="28" max="29" width="15.140625" customWidth="1"/>
  </cols>
  <sheetData>
    <row r="1" spans="1:29" s="1" customFormat="1" ht="49.5" customHeight="1" x14ac:dyDescent="0.25">
      <c r="A1" s="1" t="s">
        <v>48</v>
      </c>
      <c r="B1" s="1" t="s">
        <v>49</v>
      </c>
      <c r="C1" s="1" t="s">
        <v>50</v>
      </c>
      <c r="D1" s="1" t="s">
        <v>51</v>
      </c>
      <c r="E1" s="7" t="s">
        <v>229</v>
      </c>
      <c r="F1" s="7" t="s">
        <v>52</v>
      </c>
      <c r="G1" s="7" t="s">
        <v>61</v>
      </c>
      <c r="H1" s="7" t="s">
        <v>53</v>
      </c>
      <c r="I1" s="7" t="s">
        <v>62</v>
      </c>
      <c r="J1" s="7" t="s">
        <v>54</v>
      </c>
      <c r="K1" s="7" t="s">
        <v>63</v>
      </c>
      <c r="L1" s="7" t="s">
        <v>55</v>
      </c>
      <c r="M1" s="7" t="s">
        <v>64</v>
      </c>
      <c r="N1" s="7" t="s">
        <v>56</v>
      </c>
      <c r="O1" s="7" t="s">
        <v>65</v>
      </c>
      <c r="P1" s="7" t="s">
        <v>66</v>
      </c>
      <c r="Q1" s="7" t="s">
        <v>67</v>
      </c>
      <c r="R1" s="7" t="s">
        <v>59</v>
      </c>
      <c r="S1" s="7" t="s">
        <v>113</v>
      </c>
      <c r="T1" s="7" t="s">
        <v>114</v>
      </c>
      <c r="U1" s="7" t="s">
        <v>60</v>
      </c>
      <c r="V1" s="7" t="s">
        <v>115</v>
      </c>
      <c r="W1" s="7" t="s">
        <v>116</v>
      </c>
      <c r="X1" s="48" t="s">
        <v>176</v>
      </c>
      <c r="Y1" s="48" t="s">
        <v>178</v>
      </c>
      <c r="Z1" s="48" t="s">
        <v>179</v>
      </c>
      <c r="AA1" s="48" t="s">
        <v>177</v>
      </c>
      <c r="AB1" s="48" t="s">
        <v>180</v>
      </c>
      <c r="AC1" s="48" t="s">
        <v>181</v>
      </c>
    </row>
    <row r="2" spans="1:29" x14ac:dyDescent="0.25">
      <c r="A2" t="s">
        <v>87</v>
      </c>
      <c r="B2">
        <v>763.56016099999999</v>
      </c>
      <c r="C2">
        <v>7.8625910000000001</v>
      </c>
      <c r="D2">
        <v>9.8284324819201005E-2</v>
      </c>
      <c r="E2" s="1">
        <v>2</v>
      </c>
      <c r="F2" s="57">
        <v>2</v>
      </c>
      <c r="G2" s="1">
        <v>600</v>
      </c>
      <c r="H2" s="1">
        <v>0</v>
      </c>
      <c r="I2" s="1">
        <v>10</v>
      </c>
      <c r="J2" s="1">
        <v>1</v>
      </c>
      <c r="K2" s="1">
        <v>0.5</v>
      </c>
      <c r="L2" s="1">
        <v>1</v>
      </c>
      <c r="M2" s="1">
        <v>3</v>
      </c>
      <c r="N2" s="1">
        <f>M2-E2</f>
        <v>1</v>
      </c>
      <c r="O2" s="1">
        <v>3</v>
      </c>
      <c r="P2" s="1">
        <v>-1</v>
      </c>
      <c r="Q2" s="1">
        <v>0</v>
      </c>
      <c r="R2" s="1">
        <f>IF(SUM(F2+H2+J2+L2+N2+P2)&lt;1,1,SUM(F2+H2+J2+L2+N2+P2))</f>
        <v>4</v>
      </c>
      <c r="S2" s="1">
        <v>95.52</v>
      </c>
      <c r="T2" s="1">
        <v>5.11E-2</v>
      </c>
      <c r="U2" s="1">
        <f>IF(SUM(F2+H2+J2+L2+N2+Q2)&lt;1, 1, SUM(F2+H2+J2+L2+N2+Q2))</f>
        <v>5</v>
      </c>
      <c r="V2" s="1">
        <v>97.318399999999997</v>
      </c>
      <c r="W2" s="1">
        <v>0.1103</v>
      </c>
      <c r="X2">
        <f>R2+1</f>
        <v>5</v>
      </c>
      <c r="Y2">
        <v>97.318399999999997</v>
      </c>
      <c r="Z2">
        <v>0.1103</v>
      </c>
      <c r="AA2">
        <f>U2+1</f>
        <v>6</v>
      </c>
      <c r="AB2">
        <v>97.004099999999994</v>
      </c>
      <c r="AC2">
        <v>0.31330000000000002</v>
      </c>
    </row>
    <row r="3" spans="1:29" x14ac:dyDescent="0.25">
      <c r="A3" t="s">
        <v>19</v>
      </c>
      <c r="B3">
        <v>709.93924400000003</v>
      </c>
      <c r="C3">
        <v>5.3143849999999997</v>
      </c>
      <c r="D3">
        <v>0.11269956924464498</v>
      </c>
      <c r="E3" s="1">
        <v>2</v>
      </c>
      <c r="F3" s="57">
        <v>6</v>
      </c>
      <c r="G3" s="1">
        <v>600</v>
      </c>
      <c r="H3" s="1">
        <v>0</v>
      </c>
      <c r="I3" s="1">
        <v>2</v>
      </c>
      <c r="J3" s="1">
        <v>-1</v>
      </c>
      <c r="K3" s="1">
        <v>0.15</v>
      </c>
      <c r="L3" s="1">
        <v>0</v>
      </c>
      <c r="M3" s="1">
        <v>3</v>
      </c>
      <c r="N3" s="1">
        <f t="shared" ref="N3:N31" si="0">M3-E3</f>
        <v>1</v>
      </c>
      <c r="O3" s="1">
        <v>3</v>
      </c>
      <c r="P3" s="1">
        <v>-1</v>
      </c>
      <c r="Q3" s="1">
        <v>0</v>
      </c>
      <c r="R3" s="1">
        <f t="shared" ref="R3:R31" si="1">IF(SUM(F3+H3+J3+L3+N3+P3)&lt;1,1,SUM(F3+H3+J3+L3+N3+P3))</f>
        <v>5</v>
      </c>
      <c r="S3" s="1">
        <v>97.318399999999997</v>
      </c>
      <c r="T3" s="1">
        <v>0.1103</v>
      </c>
      <c r="U3" s="1">
        <f t="shared" ref="U3:U31" si="2">IF(SUM(F3+H3+J3+L3+N3+Q3)&lt;1, 1, SUM(F3+H3+J3+L3+N3+Q3))</f>
        <v>6</v>
      </c>
      <c r="V3" s="1">
        <v>97.004099999999994</v>
      </c>
      <c r="W3" s="1">
        <v>0.31330000000000002</v>
      </c>
      <c r="X3">
        <f t="shared" ref="X3:X31" si="3">R3+1</f>
        <v>6</v>
      </c>
      <c r="Y3">
        <v>97.004099999999994</v>
      </c>
      <c r="Z3">
        <v>0.31330000000000002</v>
      </c>
      <c r="AA3">
        <f t="shared" ref="AA3:AA31" si="4">U3+1</f>
        <v>7</v>
      </c>
      <c r="AB3">
        <v>100</v>
      </c>
      <c r="AC3">
        <v>10000000000</v>
      </c>
    </row>
    <row r="4" spans="1:29" x14ac:dyDescent="0.25">
      <c r="A4" t="s">
        <v>20</v>
      </c>
      <c r="B4">
        <v>697.66628600000001</v>
      </c>
      <c r="C4">
        <v>47.726010000000002</v>
      </c>
      <c r="D4">
        <v>0.11900128127726343</v>
      </c>
      <c r="E4" s="1">
        <v>2</v>
      </c>
      <c r="F4" s="57">
        <v>2</v>
      </c>
      <c r="G4" s="1">
        <v>600</v>
      </c>
      <c r="H4" s="1">
        <v>0</v>
      </c>
      <c r="I4" s="1">
        <v>10</v>
      </c>
      <c r="J4" s="1">
        <v>-15</v>
      </c>
      <c r="K4" s="1">
        <v>0.5</v>
      </c>
      <c r="L4" s="1">
        <v>1</v>
      </c>
      <c r="M4" s="1">
        <v>3</v>
      </c>
      <c r="N4" s="1">
        <f t="shared" si="0"/>
        <v>1</v>
      </c>
      <c r="O4" s="1">
        <v>3</v>
      </c>
      <c r="P4" s="1">
        <v>-1</v>
      </c>
      <c r="Q4" s="1">
        <v>0</v>
      </c>
      <c r="R4" s="1">
        <f t="shared" si="1"/>
        <v>1</v>
      </c>
      <c r="S4" s="1">
        <v>22.9239</v>
      </c>
      <c r="T4" s="1">
        <v>1.24E-2</v>
      </c>
      <c r="U4" s="1">
        <f t="shared" si="2"/>
        <v>1</v>
      </c>
      <c r="V4" s="1">
        <v>22.9239</v>
      </c>
      <c r="W4" s="1">
        <v>1.24E-2</v>
      </c>
      <c r="X4">
        <f t="shared" si="3"/>
        <v>2</v>
      </c>
      <c r="Y4">
        <v>22.9239</v>
      </c>
      <c r="Z4">
        <v>1.24E-2</v>
      </c>
      <c r="AA4">
        <f t="shared" si="4"/>
        <v>2</v>
      </c>
      <c r="AB4">
        <v>41.854300000000002</v>
      </c>
      <c r="AC4">
        <v>3.6200000000000003E-2</v>
      </c>
    </row>
    <row r="5" spans="1:29" x14ac:dyDescent="0.25">
      <c r="A5" t="s">
        <v>21</v>
      </c>
      <c r="B5">
        <v>695.33461299999999</v>
      </c>
      <c r="C5">
        <v>6.5577319999999997</v>
      </c>
      <c r="D5">
        <v>0.11496840077573459</v>
      </c>
      <c r="E5" s="1">
        <v>2</v>
      </c>
      <c r="F5" s="57">
        <v>6</v>
      </c>
      <c r="G5" s="1">
        <v>600</v>
      </c>
      <c r="H5" s="1">
        <v>0</v>
      </c>
      <c r="I5" s="1">
        <v>2</v>
      </c>
      <c r="J5" s="1">
        <v>-2</v>
      </c>
      <c r="K5" s="1">
        <v>0.15</v>
      </c>
      <c r="L5" s="1">
        <v>0</v>
      </c>
      <c r="M5" s="1">
        <v>3</v>
      </c>
      <c r="N5" s="1">
        <f t="shared" si="0"/>
        <v>1</v>
      </c>
      <c r="O5" s="1">
        <v>3</v>
      </c>
      <c r="P5" s="1">
        <v>-1</v>
      </c>
      <c r="Q5" s="1">
        <v>0</v>
      </c>
      <c r="R5" s="1">
        <f t="shared" si="1"/>
        <v>4</v>
      </c>
      <c r="S5" s="1">
        <v>95.52</v>
      </c>
      <c r="T5" s="1">
        <v>5.11E-2</v>
      </c>
      <c r="U5" s="1">
        <f t="shared" si="2"/>
        <v>5</v>
      </c>
      <c r="V5" s="1">
        <v>97.318399999999997</v>
      </c>
      <c r="W5" s="1">
        <v>0.1103</v>
      </c>
      <c r="X5">
        <f t="shared" si="3"/>
        <v>5</v>
      </c>
      <c r="Y5">
        <v>97.318399999999997</v>
      </c>
      <c r="Z5">
        <v>0.1103</v>
      </c>
      <c r="AA5">
        <f t="shared" si="4"/>
        <v>6</v>
      </c>
      <c r="AB5">
        <v>97.004099999999994</v>
      </c>
      <c r="AC5">
        <v>0.31330000000000002</v>
      </c>
    </row>
    <row r="6" spans="1:29" x14ac:dyDescent="0.25">
      <c r="A6" t="s">
        <v>22</v>
      </c>
      <c r="B6">
        <v>936.40640900000005</v>
      </c>
      <c r="C6">
        <v>7.3686220000000002</v>
      </c>
      <c r="D6">
        <v>0.1506498144347278</v>
      </c>
      <c r="E6" s="1">
        <v>3</v>
      </c>
      <c r="F6" s="57">
        <v>4</v>
      </c>
      <c r="G6" s="1">
        <v>1200</v>
      </c>
      <c r="H6" s="1">
        <v>0</v>
      </c>
      <c r="I6" s="1">
        <v>2</v>
      </c>
      <c r="J6" s="1">
        <v>-2</v>
      </c>
      <c r="K6" s="1">
        <v>0.5</v>
      </c>
      <c r="L6" s="1">
        <v>1</v>
      </c>
      <c r="M6" s="1">
        <v>3</v>
      </c>
      <c r="N6" s="1">
        <f t="shared" si="0"/>
        <v>0</v>
      </c>
      <c r="O6" s="1">
        <v>3</v>
      </c>
      <c r="P6" s="1">
        <v>-1</v>
      </c>
      <c r="Q6" s="1">
        <v>0</v>
      </c>
      <c r="R6" s="1">
        <f t="shared" si="1"/>
        <v>2</v>
      </c>
      <c r="S6" s="1">
        <v>41.854300000000002</v>
      </c>
      <c r="T6" s="1">
        <v>3.6200000000000003E-2</v>
      </c>
      <c r="U6" s="1">
        <f t="shared" si="2"/>
        <v>3</v>
      </c>
      <c r="V6" s="1">
        <v>95.009799999999998</v>
      </c>
      <c r="W6" s="1">
        <v>2.5000000000000001E-2</v>
      </c>
      <c r="X6">
        <f t="shared" si="3"/>
        <v>3</v>
      </c>
      <c r="Y6">
        <v>95.009799999999998</v>
      </c>
      <c r="Z6">
        <v>2.5000000000000001E-2</v>
      </c>
      <c r="AA6">
        <f t="shared" si="4"/>
        <v>4</v>
      </c>
      <c r="AB6">
        <v>95.52</v>
      </c>
      <c r="AC6">
        <v>5.11E-2</v>
      </c>
    </row>
    <row r="7" spans="1:29" x14ac:dyDescent="0.25">
      <c r="A7" t="s">
        <v>23</v>
      </c>
      <c r="B7">
        <v>722.30845699999998</v>
      </c>
      <c r="C7">
        <v>5.8484090000000002</v>
      </c>
      <c r="D7">
        <v>8.1176077676095207E-2</v>
      </c>
      <c r="E7" s="1">
        <v>1</v>
      </c>
      <c r="F7" s="57">
        <v>7</v>
      </c>
      <c r="G7" s="1">
        <v>600</v>
      </c>
      <c r="H7" s="1">
        <v>0</v>
      </c>
      <c r="I7" s="1">
        <v>2</v>
      </c>
      <c r="J7" s="1">
        <v>-2</v>
      </c>
      <c r="K7" s="1">
        <v>0.5</v>
      </c>
      <c r="L7" s="1">
        <v>1</v>
      </c>
      <c r="M7" s="1">
        <v>2</v>
      </c>
      <c r="N7" s="1">
        <f t="shared" si="0"/>
        <v>1</v>
      </c>
      <c r="O7" s="1">
        <v>3</v>
      </c>
      <c r="P7" s="1">
        <v>-1</v>
      </c>
      <c r="Q7" s="1">
        <v>0</v>
      </c>
      <c r="R7" s="1">
        <f t="shared" si="1"/>
        <v>6</v>
      </c>
      <c r="S7" s="1">
        <v>97.004099999999994</v>
      </c>
      <c r="T7" s="1">
        <v>0.31330000000000002</v>
      </c>
      <c r="U7" s="47">
        <f t="shared" si="2"/>
        <v>7</v>
      </c>
      <c r="V7" s="1">
        <v>100</v>
      </c>
      <c r="W7" s="1">
        <v>10000000000</v>
      </c>
      <c r="X7">
        <f t="shared" si="3"/>
        <v>7</v>
      </c>
      <c r="Y7">
        <v>100</v>
      </c>
      <c r="Z7">
        <v>10000000000</v>
      </c>
      <c r="AA7">
        <f t="shared" si="4"/>
        <v>8</v>
      </c>
      <c r="AB7">
        <v>100</v>
      </c>
      <c r="AC7">
        <v>10000000000</v>
      </c>
    </row>
    <row r="8" spans="1:29" x14ac:dyDescent="0.25">
      <c r="A8" t="s">
        <v>88</v>
      </c>
      <c r="B8">
        <v>945.41613500000005</v>
      </c>
      <c r="C8">
        <v>4.8836740000000001</v>
      </c>
      <c r="D8">
        <v>0.16064032824919877</v>
      </c>
      <c r="E8" s="1">
        <v>3</v>
      </c>
      <c r="F8" s="57">
        <v>4</v>
      </c>
      <c r="G8" s="1">
        <v>1200</v>
      </c>
      <c r="H8" s="1">
        <v>0</v>
      </c>
      <c r="I8" s="1">
        <v>2</v>
      </c>
      <c r="J8" s="1">
        <v>-1</v>
      </c>
      <c r="K8" s="1">
        <v>0.5</v>
      </c>
      <c r="L8" s="1">
        <v>1</v>
      </c>
      <c r="M8" s="1">
        <v>3</v>
      </c>
      <c r="N8" s="1">
        <f t="shared" si="0"/>
        <v>0</v>
      </c>
      <c r="O8" s="1">
        <v>3</v>
      </c>
      <c r="P8" s="1">
        <v>-1</v>
      </c>
      <c r="Q8" s="1">
        <v>0</v>
      </c>
      <c r="R8" s="1">
        <f t="shared" si="1"/>
        <v>3</v>
      </c>
      <c r="S8" s="1">
        <v>95.009799999999998</v>
      </c>
      <c r="T8" s="1">
        <v>2.5000000000000001E-2</v>
      </c>
      <c r="U8" s="47">
        <f t="shared" si="2"/>
        <v>4</v>
      </c>
      <c r="V8" s="1">
        <v>95.52</v>
      </c>
      <c r="W8" s="1">
        <v>5.11E-2</v>
      </c>
      <c r="X8">
        <f t="shared" si="3"/>
        <v>4</v>
      </c>
      <c r="Y8">
        <v>95.52</v>
      </c>
      <c r="Z8">
        <v>5.11E-2</v>
      </c>
      <c r="AA8">
        <f t="shared" si="4"/>
        <v>5</v>
      </c>
      <c r="AB8">
        <v>97.318399999999997</v>
      </c>
      <c r="AC8">
        <v>0.1103</v>
      </c>
    </row>
    <row r="9" spans="1:29" x14ac:dyDescent="0.25">
      <c r="A9" t="s">
        <v>89</v>
      </c>
      <c r="B9">
        <v>980.30376699999999</v>
      </c>
      <c r="C9">
        <v>4.2831910000000004</v>
      </c>
      <c r="D9">
        <v>0.18029062434236398</v>
      </c>
      <c r="E9" s="1">
        <v>3</v>
      </c>
      <c r="F9" s="57">
        <v>4</v>
      </c>
      <c r="G9" s="1">
        <v>1200</v>
      </c>
      <c r="H9" s="1">
        <v>0</v>
      </c>
      <c r="I9" s="1">
        <v>2</v>
      </c>
      <c r="J9" s="1">
        <v>-1</v>
      </c>
      <c r="K9" s="1">
        <v>0.5</v>
      </c>
      <c r="L9" s="1">
        <v>1</v>
      </c>
      <c r="M9" s="1">
        <v>3</v>
      </c>
      <c r="N9" s="1">
        <f t="shared" si="0"/>
        <v>0</v>
      </c>
      <c r="O9" s="1">
        <v>3</v>
      </c>
      <c r="P9" s="1">
        <v>-1</v>
      </c>
      <c r="Q9" s="1">
        <v>0</v>
      </c>
      <c r="R9" s="1">
        <f t="shared" si="1"/>
        <v>3</v>
      </c>
      <c r="S9" s="1">
        <v>95.009799999999998</v>
      </c>
      <c r="T9" s="1">
        <v>2.5000000000000001E-2</v>
      </c>
      <c r="U9" s="47">
        <f t="shared" si="2"/>
        <v>4</v>
      </c>
      <c r="V9" s="1">
        <v>95.52</v>
      </c>
      <c r="W9" s="1">
        <v>5.11E-2</v>
      </c>
      <c r="X9">
        <f t="shared" si="3"/>
        <v>4</v>
      </c>
      <c r="Y9">
        <v>95.52</v>
      </c>
      <c r="Z9">
        <v>5.11E-2</v>
      </c>
      <c r="AA9">
        <f t="shared" si="4"/>
        <v>5</v>
      </c>
      <c r="AB9">
        <v>97.318399999999997</v>
      </c>
      <c r="AC9">
        <v>0.1103</v>
      </c>
    </row>
    <row r="10" spans="1:29" x14ac:dyDescent="0.25">
      <c r="A10" t="s">
        <v>26</v>
      </c>
      <c r="B10">
        <v>925.29051900000002</v>
      </c>
      <c r="C10">
        <v>6.0991479999999996</v>
      </c>
      <c r="D10">
        <v>0.14415967175862368</v>
      </c>
      <c r="E10" s="1">
        <v>3</v>
      </c>
      <c r="F10" s="57">
        <v>4</v>
      </c>
      <c r="G10" s="1">
        <v>1200</v>
      </c>
      <c r="H10" s="1">
        <v>0</v>
      </c>
      <c r="I10" s="1">
        <v>2</v>
      </c>
      <c r="J10" s="1">
        <v>-2</v>
      </c>
      <c r="K10" s="1">
        <v>0.5</v>
      </c>
      <c r="L10" s="1">
        <v>1</v>
      </c>
      <c r="M10" s="1">
        <v>3</v>
      </c>
      <c r="N10" s="1">
        <f t="shared" si="0"/>
        <v>0</v>
      </c>
      <c r="O10" s="1">
        <v>3</v>
      </c>
      <c r="P10" s="1">
        <v>-1</v>
      </c>
      <c r="Q10" s="1">
        <v>0</v>
      </c>
      <c r="R10" s="1">
        <f t="shared" si="1"/>
        <v>2</v>
      </c>
      <c r="S10" s="1">
        <v>41.854300000000002</v>
      </c>
      <c r="T10" s="1">
        <v>3.6200000000000003E-2</v>
      </c>
      <c r="U10" s="47">
        <f t="shared" si="2"/>
        <v>3</v>
      </c>
      <c r="V10" s="1">
        <v>95.009799999999998</v>
      </c>
      <c r="W10" s="1">
        <v>2.5000000000000001E-2</v>
      </c>
      <c r="X10">
        <f t="shared" si="3"/>
        <v>3</v>
      </c>
      <c r="Y10">
        <v>95.009799999999998</v>
      </c>
      <c r="Z10">
        <v>2.5000000000000001E-2</v>
      </c>
      <c r="AA10">
        <f t="shared" si="4"/>
        <v>4</v>
      </c>
      <c r="AB10">
        <v>95.52</v>
      </c>
      <c r="AC10">
        <v>5.11E-2</v>
      </c>
    </row>
    <row r="11" spans="1:29" x14ac:dyDescent="0.25">
      <c r="A11" t="s">
        <v>27</v>
      </c>
      <c r="B11">
        <v>916.49940800000002</v>
      </c>
      <c r="C11">
        <v>7.6587820000000004</v>
      </c>
      <c r="D11">
        <v>0.14685008598327975</v>
      </c>
      <c r="E11" s="1">
        <v>3</v>
      </c>
      <c r="F11" s="57">
        <v>4</v>
      </c>
      <c r="G11" s="1">
        <v>1200</v>
      </c>
      <c r="H11" s="1">
        <v>0</v>
      </c>
      <c r="I11" s="1">
        <v>2</v>
      </c>
      <c r="J11" s="1">
        <v>-2</v>
      </c>
      <c r="K11" s="1">
        <v>0.5</v>
      </c>
      <c r="L11" s="1">
        <v>1</v>
      </c>
      <c r="M11" s="1">
        <v>3</v>
      </c>
      <c r="N11" s="1">
        <f t="shared" si="0"/>
        <v>0</v>
      </c>
      <c r="O11" s="1">
        <v>3</v>
      </c>
      <c r="P11" s="1">
        <v>-1</v>
      </c>
      <c r="Q11" s="1">
        <v>0</v>
      </c>
      <c r="R11" s="1">
        <f t="shared" si="1"/>
        <v>2</v>
      </c>
      <c r="S11" s="1">
        <v>41.854300000000002</v>
      </c>
      <c r="T11" s="1">
        <v>3.6200000000000003E-2</v>
      </c>
      <c r="U11" s="47">
        <f t="shared" si="2"/>
        <v>3</v>
      </c>
      <c r="V11" s="1">
        <v>95.009799999999998</v>
      </c>
      <c r="W11" s="1">
        <v>2.5000000000000001E-2</v>
      </c>
      <c r="X11">
        <f t="shared" si="3"/>
        <v>3</v>
      </c>
      <c r="Y11">
        <v>95.009799999999998</v>
      </c>
      <c r="Z11">
        <v>2.5000000000000001E-2</v>
      </c>
      <c r="AA11">
        <f t="shared" si="4"/>
        <v>4</v>
      </c>
      <c r="AB11">
        <v>95.52</v>
      </c>
      <c r="AC11">
        <v>5.11E-2</v>
      </c>
    </row>
    <row r="12" spans="1:29" x14ac:dyDescent="0.25">
      <c r="A12" t="s">
        <v>28</v>
      </c>
      <c r="B12">
        <v>993.50052800000003</v>
      </c>
      <c r="C12">
        <v>1.952696</v>
      </c>
      <c r="D12">
        <v>0.12388909471908724</v>
      </c>
      <c r="E12" s="1">
        <v>2</v>
      </c>
      <c r="F12" s="57">
        <v>3</v>
      </c>
      <c r="G12" s="1">
        <v>1200</v>
      </c>
      <c r="H12" s="1">
        <v>0</v>
      </c>
      <c r="I12" s="1">
        <v>2</v>
      </c>
      <c r="J12" s="1">
        <v>0</v>
      </c>
      <c r="K12" s="1">
        <v>0.5</v>
      </c>
      <c r="L12" s="1">
        <v>1</v>
      </c>
      <c r="M12" s="1">
        <v>2</v>
      </c>
      <c r="N12" s="1">
        <f t="shared" si="0"/>
        <v>0</v>
      </c>
      <c r="O12" s="1">
        <v>0</v>
      </c>
      <c r="P12" s="1">
        <v>2</v>
      </c>
      <c r="Q12" s="1">
        <v>3</v>
      </c>
      <c r="R12" s="1">
        <f t="shared" si="1"/>
        <v>6</v>
      </c>
      <c r="S12" s="1">
        <v>97.004099999999994</v>
      </c>
      <c r="T12" s="1">
        <v>0.31330000000000002</v>
      </c>
      <c r="U12" s="47">
        <f t="shared" si="2"/>
        <v>7</v>
      </c>
      <c r="V12" s="1">
        <v>100</v>
      </c>
      <c r="W12" s="1">
        <v>10000000000</v>
      </c>
      <c r="X12">
        <f t="shared" si="3"/>
        <v>7</v>
      </c>
      <c r="Y12">
        <v>100</v>
      </c>
      <c r="Z12">
        <v>10000000000</v>
      </c>
      <c r="AA12">
        <f t="shared" si="4"/>
        <v>8</v>
      </c>
      <c r="AB12">
        <v>100</v>
      </c>
      <c r="AC12">
        <v>10000000000</v>
      </c>
    </row>
    <row r="13" spans="1:29" x14ac:dyDescent="0.25">
      <c r="A13" t="s">
        <v>29</v>
      </c>
      <c r="B13">
        <v>867.67580599999997</v>
      </c>
      <c r="C13">
        <v>5.1751329999999998</v>
      </c>
      <c r="D13">
        <v>0.16174574693147703</v>
      </c>
      <c r="E13" s="1">
        <v>3</v>
      </c>
      <c r="F13" s="57">
        <v>4</v>
      </c>
      <c r="G13" s="1">
        <v>1200</v>
      </c>
      <c r="H13" s="1">
        <v>0</v>
      </c>
      <c r="I13" s="1">
        <v>2</v>
      </c>
      <c r="J13" s="1">
        <v>-1</v>
      </c>
      <c r="K13" s="1">
        <v>0.5</v>
      </c>
      <c r="L13" s="1">
        <v>1</v>
      </c>
      <c r="M13" s="1">
        <v>3</v>
      </c>
      <c r="N13" s="1">
        <f t="shared" si="0"/>
        <v>0</v>
      </c>
      <c r="O13" s="1">
        <v>3</v>
      </c>
      <c r="P13" s="1">
        <v>-1</v>
      </c>
      <c r="Q13" s="1">
        <v>0</v>
      </c>
      <c r="R13" s="1">
        <f t="shared" si="1"/>
        <v>3</v>
      </c>
      <c r="S13" s="1">
        <v>95.009799999999998</v>
      </c>
      <c r="T13" s="1">
        <v>2.5000000000000001E-2</v>
      </c>
      <c r="U13" s="47">
        <f t="shared" si="2"/>
        <v>4</v>
      </c>
      <c r="V13" s="1">
        <v>95.52</v>
      </c>
      <c r="W13" s="1">
        <v>5.11E-2</v>
      </c>
      <c r="X13">
        <f t="shared" si="3"/>
        <v>4</v>
      </c>
      <c r="Y13">
        <v>95.52</v>
      </c>
      <c r="Z13">
        <v>5.11E-2</v>
      </c>
      <c r="AA13">
        <f t="shared" si="4"/>
        <v>5</v>
      </c>
      <c r="AB13">
        <v>97.318399999999997</v>
      </c>
      <c r="AC13">
        <v>0.1103</v>
      </c>
    </row>
    <row r="14" spans="1:29" x14ac:dyDescent="0.25">
      <c r="A14" t="s">
        <v>30</v>
      </c>
      <c r="B14">
        <v>905.94946600000003</v>
      </c>
      <c r="C14">
        <v>2.6654779999999998</v>
      </c>
      <c r="D14">
        <v>0.12386814471050991</v>
      </c>
      <c r="E14" s="1">
        <v>3</v>
      </c>
      <c r="F14" s="57">
        <v>4</v>
      </c>
      <c r="G14" s="1">
        <v>1200</v>
      </c>
      <c r="H14" s="1">
        <v>0</v>
      </c>
      <c r="I14" s="1">
        <v>2</v>
      </c>
      <c r="J14" s="1">
        <v>0</v>
      </c>
      <c r="K14" s="1">
        <v>0.5</v>
      </c>
      <c r="L14" s="1">
        <v>1</v>
      </c>
      <c r="M14" s="1">
        <v>3</v>
      </c>
      <c r="N14" s="1">
        <f t="shared" si="0"/>
        <v>0</v>
      </c>
      <c r="O14" s="1">
        <v>3</v>
      </c>
      <c r="P14" s="1">
        <v>-1</v>
      </c>
      <c r="Q14" s="1">
        <v>0</v>
      </c>
      <c r="R14" s="1">
        <f t="shared" si="1"/>
        <v>4</v>
      </c>
      <c r="S14" s="1">
        <v>95.52</v>
      </c>
      <c r="T14" s="1">
        <v>5.11E-2</v>
      </c>
      <c r="U14" s="47">
        <f t="shared" si="2"/>
        <v>5</v>
      </c>
      <c r="V14" s="1">
        <v>97.318399999999997</v>
      </c>
      <c r="W14" s="1">
        <v>0.1103</v>
      </c>
      <c r="X14">
        <f t="shared" si="3"/>
        <v>5</v>
      </c>
      <c r="Y14">
        <v>97.318399999999997</v>
      </c>
      <c r="Z14">
        <v>0.1103</v>
      </c>
      <c r="AA14">
        <f t="shared" si="4"/>
        <v>6</v>
      </c>
      <c r="AB14">
        <v>97.004099999999994</v>
      </c>
      <c r="AC14">
        <v>0.31330000000000002</v>
      </c>
    </row>
    <row r="15" spans="1:29" x14ac:dyDescent="0.25">
      <c r="A15" t="s">
        <v>90</v>
      </c>
      <c r="B15">
        <v>951.84631999999999</v>
      </c>
      <c r="C15">
        <v>2.0838869999999998</v>
      </c>
      <c r="D15">
        <v>0.16143304995598312</v>
      </c>
      <c r="E15" s="1">
        <v>3</v>
      </c>
      <c r="F15" s="57">
        <v>4</v>
      </c>
      <c r="G15" s="1">
        <v>1200</v>
      </c>
      <c r="H15" s="1">
        <v>0</v>
      </c>
      <c r="I15" s="1">
        <v>2</v>
      </c>
      <c r="J15" s="1">
        <v>0</v>
      </c>
      <c r="K15" s="1">
        <v>0.5</v>
      </c>
      <c r="L15" s="1">
        <v>1</v>
      </c>
      <c r="M15" s="1">
        <v>3</v>
      </c>
      <c r="N15" s="1">
        <f t="shared" si="0"/>
        <v>0</v>
      </c>
      <c r="O15" s="1">
        <v>3</v>
      </c>
      <c r="P15" s="1">
        <v>-1</v>
      </c>
      <c r="Q15" s="1">
        <v>0</v>
      </c>
      <c r="R15" s="1">
        <f t="shared" si="1"/>
        <v>4</v>
      </c>
      <c r="S15" s="1">
        <v>95.52</v>
      </c>
      <c r="T15" s="1">
        <v>5.11E-2</v>
      </c>
      <c r="U15" s="47">
        <f t="shared" si="2"/>
        <v>5</v>
      </c>
      <c r="V15" s="1">
        <v>97.318399999999997</v>
      </c>
      <c r="W15" s="1">
        <v>0.1103</v>
      </c>
      <c r="X15">
        <f t="shared" si="3"/>
        <v>5</v>
      </c>
      <c r="Y15">
        <v>97.318399999999997</v>
      </c>
      <c r="Z15">
        <v>0.1103</v>
      </c>
      <c r="AA15">
        <f t="shared" si="4"/>
        <v>6</v>
      </c>
      <c r="AB15">
        <v>97.004099999999994</v>
      </c>
      <c r="AC15">
        <v>0.31330000000000002</v>
      </c>
    </row>
    <row r="16" spans="1:29" x14ac:dyDescent="0.25">
      <c r="A16" t="s">
        <v>91</v>
      </c>
      <c r="B16">
        <v>1067.6030430000001</v>
      </c>
      <c r="C16">
        <v>1.8277289999999999</v>
      </c>
      <c r="D16">
        <v>0.168021560216013</v>
      </c>
      <c r="E16" s="1">
        <v>3</v>
      </c>
      <c r="F16" s="57">
        <v>4</v>
      </c>
      <c r="G16" s="1">
        <v>1200</v>
      </c>
      <c r="H16" s="1">
        <v>0</v>
      </c>
      <c r="I16" s="1">
        <v>2</v>
      </c>
      <c r="J16" s="1">
        <v>0</v>
      </c>
      <c r="K16" s="1">
        <v>0.5</v>
      </c>
      <c r="L16" s="1">
        <v>1</v>
      </c>
      <c r="M16" s="1">
        <v>3</v>
      </c>
      <c r="N16" s="1">
        <f t="shared" si="0"/>
        <v>0</v>
      </c>
      <c r="O16" s="1">
        <v>3</v>
      </c>
      <c r="P16" s="1">
        <v>-1</v>
      </c>
      <c r="Q16" s="1">
        <v>0</v>
      </c>
      <c r="R16" s="1">
        <f t="shared" si="1"/>
        <v>4</v>
      </c>
      <c r="S16" s="1">
        <v>95.52</v>
      </c>
      <c r="T16" s="1">
        <v>5.11E-2</v>
      </c>
      <c r="U16" s="47">
        <f t="shared" si="2"/>
        <v>5</v>
      </c>
      <c r="V16" s="1">
        <v>97.318399999999997</v>
      </c>
      <c r="W16" s="1">
        <v>0.1103</v>
      </c>
      <c r="X16">
        <f t="shared" si="3"/>
        <v>5</v>
      </c>
      <c r="Y16">
        <v>97.318399999999997</v>
      </c>
      <c r="Z16">
        <v>0.1103</v>
      </c>
      <c r="AA16">
        <f t="shared" si="4"/>
        <v>6</v>
      </c>
      <c r="AB16">
        <v>97.004099999999994</v>
      </c>
      <c r="AC16">
        <v>0.31330000000000002</v>
      </c>
    </row>
    <row r="17" spans="1:29" x14ac:dyDescent="0.25">
      <c r="A17" t="s">
        <v>33</v>
      </c>
      <c r="B17">
        <v>719.85592699999995</v>
      </c>
      <c r="C17">
        <v>17.443083000000001</v>
      </c>
      <c r="D17">
        <v>0.12776792547365493</v>
      </c>
      <c r="E17" s="1">
        <v>3</v>
      </c>
      <c r="F17" s="57">
        <v>2</v>
      </c>
      <c r="G17" s="1">
        <v>600</v>
      </c>
      <c r="H17" s="1">
        <v>0</v>
      </c>
      <c r="I17" s="1">
        <v>10</v>
      </c>
      <c r="J17" s="1">
        <v>-3</v>
      </c>
      <c r="K17" s="1">
        <v>0.5</v>
      </c>
      <c r="L17" s="1">
        <v>1</v>
      </c>
      <c r="M17" s="1">
        <v>3</v>
      </c>
      <c r="N17" s="1">
        <f t="shared" si="0"/>
        <v>0</v>
      </c>
      <c r="O17" s="1">
        <v>3</v>
      </c>
      <c r="P17" s="1">
        <v>-1</v>
      </c>
      <c r="Q17" s="1">
        <v>0</v>
      </c>
      <c r="R17" s="1">
        <f t="shared" si="1"/>
        <v>1</v>
      </c>
      <c r="S17" s="1">
        <v>22.9239</v>
      </c>
      <c r="T17" s="1">
        <v>1.24E-2</v>
      </c>
      <c r="U17" s="47">
        <f t="shared" si="2"/>
        <v>1</v>
      </c>
      <c r="V17" s="1">
        <v>22.9239</v>
      </c>
      <c r="W17" s="1">
        <v>1.24E-2</v>
      </c>
      <c r="X17">
        <f t="shared" si="3"/>
        <v>2</v>
      </c>
      <c r="Y17">
        <v>22.9239</v>
      </c>
      <c r="Z17">
        <v>1.24E-2</v>
      </c>
      <c r="AA17">
        <f t="shared" si="4"/>
        <v>2</v>
      </c>
      <c r="AB17">
        <v>41.854300000000002</v>
      </c>
      <c r="AC17">
        <v>3.6200000000000003E-2</v>
      </c>
    </row>
    <row r="18" spans="1:29" x14ac:dyDescent="0.25">
      <c r="A18" t="s">
        <v>34</v>
      </c>
      <c r="B18">
        <v>811.98987699999998</v>
      </c>
      <c r="C18">
        <v>8.2796970000000005</v>
      </c>
      <c r="D18">
        <v>0.16513278338138215</v>
      </c>
      <c r="E18" s="1">
        <v>3</v>
      </c>
      <c r="F18" s="57">
        <v>2</v>
      </c>
      <c r="G18" s="1">
        <v>600</v>
      </c>
      <c r="H18" s="1">
        <v>0</v>
      </c>
      <c r="I18" s="1">
        <v>10</v>
      </c>
      <c r="J18" s="1">
        <v>1</v>
      </c>
      <c r="K18" s="1">
        <v>0.5</v>
      </c>
      <c r="L18" s="1">
        <v>1</v>
      </c>
      <c r="M18" s="1">
        <v>3</v>
      </c>
      <c r="N18" s="1">
        <f t="shared" si="0"/>
        <v>0</v>
      </c>
      <c r="O18" s="1">
        <v>3</v>
      </c>
      <c r="P18" s="1">
        <v>-1</v>
      </c>
      <c r="Q18" s="1">
        <v>0</v>
      </c>
      <c r="R18" s="1">
        <f t="shared" si="1"/>
        <v>3</v>
      </c>
      <c r="S18" s="1">
        <v>95.009799999999998</v>
      </c>
      <c r="T18" s="1">
        <v>2.5000000000000001E-2</v>
      </c>
      <c r="U18" s="47">
        <f t="shared" si="2"/>
        <v>4</v>
      </c>
      <c r="V18" s="1">
        <v>95.52</v>
      </c>
      <c r="W18" s="1">
        <v>5.11E-2</v>
      </c>
      <c r="X18">
        <f t="shared" si="3"/>
        <v>4</v>
      </c>
      <c r="Y18">
        <v>95.52</v>
      </c>
      <c r="Z18">
        <v>5.11E-2</v>
      </c>
      <c r="AA18">
        <f t="shared" si="4"/>
        <v>5</v>
      </c>
      <c r="AB18">
        <v>97.318399999999997</v>
      </c>
      <c r="AC18">
        <v>0.1103</v>
      </c>
    </row>
    <row r="19" spans="1:29" x14ac:dyDescent="0.25">
      <c r="A19" t="s">
        <v>92</v>
      </c>
      <c r="B19">
        <v>783.805924</v>
      </c>
      <c r="C19">
        <v>2.1162570000000001</v>
      </c>
      <c r="D19">
        <v>2.0260775643324545E-2</v>
      </c>
      <c r="E19" s="1">
        <v>2</v>
      </c>
      <c r="F19" s="57">
        <v>7</v>
      </c>
      <c r="G19" s="1">
        <v>600</v>
      </c>
      <c r="H19" s="1">
        <v>0</v>
      </c>
      <c r="I19" s="1">
        <v>2</v>
      </c>
      <c r="J19" s="1">
        <v>0</v>
      </c>
      <c r="K19" s="1">
        <v>0.5</v>
      </c>
      <c r="L19" s="1">
        <v>1</v>
      </c>
      <c r="M19" s="1">
        <v>2</v>
      </c>
      <c r="N19" s="1">
        <f t="shared" si="0"/>
        <v>0</v>
      </c>
      <c r="O19" s="1">
        <v>3</v>
      </c>
      <c r="P19" s="1">
        <v>-1</v>
      </c>
      <c r="Q19" s="1">
        <v>0</v>
      </c>
      <c r="R19" s="1">
        <f t="shared" si="1"/>
        <v>7</v>
      </c>
      <c r="S19" s="1">
        <v>100</v>
      </c>
      <c r="T19" s="1">
        <v>10000000000</v>
      </c>
      <c r="U19" s="47">
        <f t="shared" si="2"/>
        <v>8</v>
      </c>
      <c r="V19" s="1">
        <v>100</v>
      </c>
      <c r="W19" s="1">
        <v>10000000000</v>
      </c>
      <c r="X19">
        <f t="shared" si="3"/>
        <v>8</v>
      </c>
      <c r="Y19">
        <v>100</v>
      </c>
      <c r="Z19">
        <v>10000000000</v>
      </c>
      <c r="AA19">
        <f t="shared" si="4"/>
        <v>9</v>
      </c>
      <c r="AB19">
        <v>100</v>
      </c>
      <c r="AC19">
        <v>10000000000</v>
      </c>
    </row>
    <row r="20" spans="1:29" x14ac:dyDescent="0.25">
      <c r="A20" t="s">
        <v>36</v>
      </c>
      <c r="B20">
        <v>812.35029599999996</v>
      </c>
      <c r="C20">
        <v>11.588165</v>
      </c>
      <c r="D20">
        <v>0.15039491520805517</v>
      </c>
      <c r="E20" s="1">
        <v>2</v>
      </c>
      <c r="F20" s="57">
        <v>2</v>
      </c>
      <c r="G20" s="1">
        <v>600</v>
      </c>
      <c r="H20" s="1">
        <v>0</v>
      </c>
      <c r="I20" s="1">
        <v>10</v>
      </c>
      <c r="J20" s="1">
        <v>-1</v>
      </c>
      <c r="K20" s="1">
        <v>0.5</v>
      </c>
      <c r="L20" s="1">
        <v>1</v>
      </c>
      <c r="M20" s="1">
        <v>3</v>
      </c>
      <c r="N20" s="1">
        <f t="shared" si="0"/>
        <v>1</v>
      </c>
      <c r="O20" s="1">
        <v>3</v>
      </c>
      <c r="P20" s="1">
        <v>-1</v>
      </c>
      <c r="Q20" s="1">
        <v>0</v>
      </c>
      <c r="R20" s="1">
        <f t="shared" si="1"/>
        <v>2</v>
      </c>
      <c r="S20" s="1">
        <v>41.854300000000002</v>
      </c>
      <c r="T20" s="1">
        <v>3.6200000000000003E-2</v>
      </c>
      <c r="U20" s="1">
        <f t="shared" si="2"/>
        <v>3</v>
      </c>
      <c r="V20" s="1">
        <v>95.009799999999998</v>
      </c>
      <c r="W20" s="1">
        <v>2.5000000000000001E-2</v>
      </c>
      <c r="X20">
        <f t="shared" si="3"/>
        <v>3</v>
      </c>
      <c r="Y20">
        <v>95.009799999999998</v>
      </c>
      <c r="Z20">
        <v>2.5000000000000001E-2</v>
      </c>
      <c r="AA20">
        <f t="shared" si="4"/>
        <v>4</v>
      </c>
      <c r="AB20">
        <v>95.52</v>
      </c>
      <c r="AC20">
        <v>5.11E-2</v>
      </c>
    </row>
    <row r="21" spans="1:29" x14ac:dyDescent="0.25">
      <c r="A21" t="s">
        <v>37</v>
      </c>
      <c r="B21">
        <v>887.72204199999999</v>
      </c>
      <c r="C21">
        <v>15.393765</v>
      </c>
      <c r="D21">
        <v>0.17928048669665814</v>
      </c>
      <c r="E21" s="1">
        <v>3</v>
      </c>
      <c r="F21" s="57">
        <v>2</v>
      </c>
      <c r="G21" s="1">
        <v>600</v>
      </c>
      <c r="H21" s="1">
        <v>0</v>
      </c>
      <c r="I21" s="1">
        <v>10</v>
      </c>
      <c r="J21" s="1">
        <v>-2</v>
      </c>
      <c r="K21" s="1">
        <v>0.5</v>
      </c>
      <c r="L21" s="1">
        <v>1</v>
      </c>
      <c r="M21" s="1">
        <v>3</v>
      </c>
      <c r="N21" s="1">
        <f t="shared" si="0"/>
        <v>0</v>
      </c>
      <c r="O21" s="1">
        <v>3</v>
      </c>
      <c r="P21" s="1">
        <v>-1</v>
      </c>
      <c r="Q21" s="1">
        <v>0</v>
      </c>
      <c r="R21" s="1">
        <f t="shared" si="1"/>
        <v>1</v>
      </c>
      <c r="S21" s="1">
        <v>22.9239</v>
      </c>
      <c r="T21" s="1">
        <v>1.24E-2</v>
      </c>
      <c r="U21" s="1">
        <f t="shared" si="2"/>
        <v>1</v>
      </c>
      <c r="V21" s="1">
        <v>22.9239</v>
      </c>
      <c r="W21" s="1">
        <v>1.24E-2</v>
      </c>
      <c r="X21">
        <f t="shared" si="3"/>
        <v>2</v>
      </c>
      <c r="Y21">
        <v>22.9239</v>
      </c>
      <c r="Z21">
        <v>1.24E-2</v>
      </c>
      <c r="AA21">
        <f t="shared" si="4"/>
        <v>2</v>
      </c>
      <c r="AB21">
        <v>41.854300000000002</v>
      </c>
      <c r="AC21">
        <v>3.6200000000000003E-2</v>
      </c>
    </row>
    <row r="22" spans="1:29" x14ac:dyDescent="0.25">
      <c r="A22" t="s">
        <v>38</v>
      </c>
      <c r="B22">
        <v>914.07176100000004</v>
      </c>
      <c r="C22">
        <v>18.834634999999999</v>
      </c>
      <c r="D22">
        <v>0.16799711337577766</v>
      </c>
      <c r="E22" s="1">
        <v>2</v>
      </c>
      <c r="F22" s="57">
        <v>2</v>
      </c>
      <c r="G22" s="1">
        <v>600</v>
      </c>
      <c r="H22" s="1">
        <v>0</v>
      </c>
      <c r="I22" s="1">
        <v>10</v>
      </c>
      <c r="J22" s="1">
        <v>-3</v>
      </c>
      <c r="K22" s="1">
        <v>0.5</v>
      </c>
      <c r="L22" s="1">
        <v>1</v>
      </c>
      <c r="M22" s="1">
        <v>3</v>
      </c>
      <c r="N22" s="1">
        <f t="shared" si="0"/>
        <v>1</v>
      </c>
      <c r="O22" s="1">
        <v>3</v>
      </c>
      <c r="P22" s="1">
        <v>-1</v>
      </c>
      <c r="Q22" s="1">
        <v>0</v>
      </c>
      <c r="R22" s="1">
        <f t="shared" si="1"/>
        <v>1</v>
      </c>
      <c r="S22" s="1">
        <v>22.9239</v>
      </c>
      <c r="T22" s="1">
        <v>1.24E-2</v>
      </c>
      <c r="U22" s="1">
        <f t="shared" si="2"/>
        <v>1</v>
      </c>
      <c r="V22" s="1">
        <v>22.9239</v>
      </c>
      <c r="W22" s="1">
        <v>1.24E-2</v>
      </c>
      <c r="X22">
        <f t="shared" si="3"/>
        <v>2</v>
      </c>
      <c r="Y22">
        <v>22.9239</v>
      </c>
      <c r="Z22">
        <v>1.24E-2</v>
      </c>
      <c r="AA22">
        <f t="shared" si="4"/>
        <v>2</v>
      </c>
      <c r="AB22">
        <v>41.854300000000002</v>
      </c>
      <c r="AC22">
        <v>3.6200000000000003E-2</v>
      </c>
    </row>
    <row r="23" spans="1:29" x14ac:dyDescent="0.25">
      <c r="A23" t="s">
        <v>39</v>
      </c>
      <c r="B23">
        <v>740.15591600000005</v>
      </c>
      <c r="C23">
        <v>12.204599</v>
      </c>
      <c r="D23">
        <v>0.11808570957772652</v>
      </c>
      <c r="E23" s="1">
        <v>2</v>
      </c>
      <c r="F23" s="57">
        <v>2</v>
      </c>
      <c r="G23" s="1">
        <v>600</v>
      </c>
      <c r="H23" s="1">
        <v>0</v>
      </c>
      <c r="I23" s="1">
        <v>10</v>
      </c>
      <c r="J23" s="1">
        <v>-1</v>
      </c>
      <c r="K23" s="1">
        <v>0.5</v>
      </c>
      <c r="L23" s="1">
        <v>1</v>
      </c>
      <c r="M23" s="1">
        <v>3</v>
      </c>
      <c r="N23" s="1">
        <f t="shared" si="0"/>
        <v>1</v>
      </c>
      <c r="O23" s="1">
        <v>3</v>
      </c>
      <c r="P23" s="1">
        <v>-1</v>
      </c>
      <c r="Q23" s="1">
        <v>0</v>
      </c>
      <c r="R23" s="1">
        <f t="shared" si="1"/>
        <v>2</v>
      </c>
      <c r="S23" s="1">
        <v>41.854300000000002</v>
      </c>
      <c r="T23" s="1">
        <v>3.6200000000000003E-2</v>
      </c>
      <c r="U23" s="1">
        <f t="shared" si="2"/>
        <v>3</v>
      </c>
      <c r="V23" s="1">
        <v>95.009799999999998</v>
      </c>
      <c r="W23" s="1">
        <v>2.5000000000000001E-2</v>
      </c>
      <c r="X23">
        <f t="shared" si="3"/>
        <v>3</v>
      </c>
      <c r="Y23">
        <v>95.009799999999998</v>
      </c>
      <c r="Z23">
        <v>2.5000000000000001E-2</v>
      </c>
      <c r="AA23">
        <f t="shared" si="4"/>
        <v>4</v>
      </c>
      <c r="AB23">
        <v>95.52</v>
      </c>
      <c r="AC23">
        <v>5.11E-2</v>
      </c>
    </row>
    <row r="24" spans="1:29" x14ac:dyDescent="0.25">
      <c r="A24" t="s">
        <v>40</v>
      </c>
      <c r="B24">
        <v>711.00450499999999</v>
      </c>
      <c r="C24">
        <v>43.935775999999997</v>
      </c>
      <c r="D24">
        <v>0.12262445032792736</v>
      </c>
      <c r="E24" s="1">
        <v>2</v>
      </c>
      <c r="F24" s="57">
        <v>2</v>
      </c>
      <c r="G24" s="1">
        <v>600</v>
      </c>
      <c r="H24" s="1">
        <v>0</v>
      </c>
      <c r="I24" s="1">
        <v>10</v>
      </c>
      <c r="J24" s="1">
        <v>-13</v>
      </c>
      <c r="K24" s="1">
        <v>0.5</v>
      </c>
      <c r="L24" s="1">
        <v>1</v>
      </c>
      <c r="M24" s="1">
        <v>3</v>
      </c>
      <c r="N24" s="1">
        <f t="shared" si="0"/>
        <v>1</v>
      </c>
      <c r="O24" s="1">
        <v>3</v>
      </c>
      <c r="P24" s="1">
        <v>-1</v>
      </c>
      <c r="Q24" s="1">
        <v>0</v>
      </c>
      <c r="R24" s="1">
        <f t="shared" si="1"/>
        <v>1</v>
      </c>
      <c r="S24" s="1">
        <v>22.9239</v>
      </c>
      <c r="T24" s="1">
        <v>1.24E-2</v>
      </c>
      <c r="U24" s="1">
        <f t="shared" si="2"/>
        <v>1</v>
      </c>
      <c r="V24" s="1">
        <v>22.9239</v>
      </c>
      <c r="W24" s="1">
        <v>1.24E-2</v>
      </c>
      <c r="X24">
        <f t="shared" si="3"/>
        <v>2</v>
      </c>
      <c r="Y24">
        <v>22.9239</v>
      </c>
      <c r="Z24">
        <v>1.24E-2</v>
      </c>
      <c r="AA24">
        <f t="shared" si="4"/>
        <v>2</v>
      </c>
      <c r="AB24">
        <v>41.854300000000002</v>
      </c>
      <c r="AC24">
        <v>3.6200000000000003E-2</v>
      </c>
    </row>
    <row r="25" spans="1:29" x14ac:dyDescent="0.25">
      <c r="A25" t="s">
        <v>41</v>
      </c>
      <c r="B25">
        <v>931.91650100000004</v>
      </c>
      <c r="C25">
        <v>5.3490570000000002</v>
      </c>
      <c r="D25">
        <v>0.17768357555945685</v>
      </c>
      <c r="E25" s="1">
        <v>2</v>
      </c>
      <c r="F25" s="57">
        <v>3</v>
      </c>
      <c r="G25" s="1">
        <v>1200</v>
      </c>
      <c r="H25" s="1">
        <v>0</v>
      </c>
      <c r="I25" s="1">
        <v>2</v>
      </c>
      <c r="J25" s="1">
        <v>-1</v>
      </c>
      <c r="K25" s="1">
        <v>0.5</v>
      </c>
      <c r="L25" s="1">
        <v>1</v>
      </c>
      <c r="M25" s="1">
        <v>2</v>
      </c>
      <c r="N25" s="1">
        <f t="shared" si="0"/>
        <v>0</v>
      </c>
      <c r="O25" s="1">
        <v>0</v>
      </c>
      <c r="P25" s="1">
        <v>2</v>
      </c>
      <c r="Q25" s="1">
        <v>3</v>
      </c>
      <c r="R25" s="1">
        <f t="shared" si="1"/>
        <v>5</v>
      </c>
      <c r="S25" s="1">
        <v>97.318399999999997</v>
      </c>
      <c r="T25" s="1">
        <v>0.1103</v>
      </c>
      <c r="U25" s="1">
        <f t="shared" si="2"/>
        <v>6</v>
      </c>
      <c r="V25" s="1">
        <v>97.004099999999994</v>
      </c>
      <c r="W25" s="1">
        <v>0.31330000000000002</v>
      </c>
      <c r="X25">
        <f t="shared" si="3"/>
        <v>6</v>
      </c>
      <c r="Y25">
        <v>97.004099999999994</v>
      </c>
      <c r="Z25">
        <v>0.31330000000000002</v>
      </c>
      <c r="AA25">
        <f t="shared" si="4"/>
        <v>7</v>
      </c>
      <c r="AB25">
        <v>100</v>
      </c>
      <c r="AC25">
        <v>10000000000</v>
      </c>
    </row>
    <row r="26" spans="1:29" x14ac:dyDescent="0.25">
      <c r="A26" t="s">
        <v>42</v>
      </c>
      <c r="B26">
        <v>957.52678700000001</v>
      </c>
      <c r="C26">
        <v>4.7038390000000003</v>
      </c>
      <c r="D26">
        <v>0.16277484198125614</v>
      </c>
      <c r="E26" s="1">
        <v>2</v>
      </c>
      <c r="F26" s="57">
        <v>3</v>
      </c>
      <c r="G26" s="1">
        <v>1200</v>
      </c>
      <c r="H26" s="1">
        <v>0</v>
      </c>
      <c r="I26" s="1">
        <v>2</v>
      </c>
      <c r="J26" s="1">
        <v>-1</v>
      </c>
      <c r="K26" s="1">
        <v>0.5</v>
      </c>
      <c r="L26" s="1">
        <v>1</v>
      </c>
      <c r="M26" s="1">
        <v>2</v>
      </c>
      <c r="N26" s="1">
        <f t="shared" si="0"/>
        <v>0</v>
      </c>
      <c r="O26" s="1">
        <v>0</v>
      </c>
      <c r="P26" s="1">
        <v>2</v>
      </c>
      <c r="Q26" s="1">
        <v>3</v>
      </c>
      <c r="R26" s="1">
        <f t="shared" si="1"/>
        <v>5</v>
      </c>
      <c r="S26" s="1">
        <v>97.318399999999997</v>
      </c>
      <c r="T26" s="1">
        <v>0.1103</v>
      </c>
      <c r="U26" s="1">
        <f t="shared" si="2"/>
        <v>6</v>
      </c>
      <c r="V26" s="1">
        <v>97.004099999999994</v>
      </c>
      <c r="W26" s="1">
        <v>0.31330000000000002</v>
      </c>
      <c r="X26">
        <f t="shared" si="3"/>
        <v>6</v>
      </c>
      <c r="Y26">
        <v>97.004099999999994</v>
      </c>
      <c r="Z26">
        <v>0.31330000000000002</v>
      </c>
      <c r="AA26">
        <f t="shared" si="4"/>
        <v>7</v>
      </c>
      <c r="AB26">
        <v>100</v>
      </c>
      <c r="AC26">
        <v>10000000000</v>
      </c>
    </row>
    <row r="27" spans="1:29" x14ac:dyDescent="0.25">
      <c r="A27" t="s">
        <v>93</v>
      </c>
      <c r="B27">
        <v>994.89722500000005</v>
      </c>
      <c r="C27">
        <v>1.216547</v>
      </c>
      <c r="D27">
        <v>0.13070170232657907</v>
      </c>
      <c r="E27" s="1">
        <v>3</v>
      </c>
      <c r="F27" s="57">
        <v>4</v>
      </c>
      <c r="G27" s="1">
        <v>1200</v>
      </c>
      <c r="H27" s="1">
        <v>0</v>
      </c>
      <c r="I27" s="1">
        <v>2</v>
      </c>
      <c r="J27" s="1">
        <v>0</v>
      </c>
      <c r="K27" s="1">
        <v>0.5</v>
      </c>
      <c r="L27" s="1">
        <v>1</v>
      </c>
      <c r="M27" s="1">
        <v>3</v>
      </c>
      <c r="N27" s="1">
        <f t="shared" si="0"/>
        <v>0</v>
      </c>
      <c r="O27" s="1">
        <v>3</v>
      </c>
      <c r="P27" s="1">
        <v>-1</v>
      </c>
      <c r="Q27" s="1">
        <v>0</v>
      </c>
      <c r="R27" s="1">
        <f t="shared" si="1"/>
        <v>4</v>
      </c>
      <c r="S27" s="1">
        <v>95.52</v>
      </c>
      <c r="T27" s="1">
        <v>5.11E-2</v>
      </c>
      <c r="U27" s="1">
        <f t="shared" si="2"/>
        <v>5</v>
      </c>
      <c r="V27" s="1">
        <v>97.318399999999997</v>
      </c>
      <c r="W27" s="1">
        <v>0.1103</v>
      </c>
      <c r="X27">
        <f t="shared" si="3"/>
        <v>5</v>
      </c>
      <c r="Y27">
        <v>97.318399999999997</v>
      </c>
      <c r="Z27">
        <v>0.1103</v>
      </c>
      <c r="AA27">
        <f t="shared" si="4"/>
        <v>6</v>
      </c>
      <c r="AB27">
        <v>97.004099999999994</v>
      </c>
      <c r="AC27">
        <v>0.31330000000000002</v>
      </c>
    </row>
    <row r="28" spans="1:29" x14ac:dyDescent="0.25">
      <c r="A28" t="s">
        <v>44</v>
      </c>
      <c r="B28">
        <v>825.72611300000005</v>
      </c>
      <c r="C28">
        <v>7.4467359999999996</v>
      </c>
      <c r="D28">
        <v>0.15298800214515546</v>
      </c>
      <c r="E28" s="1">
        <v>2</v>
      </c>
      <c r="F28" s="57">
        <v>2</v>
      </c>
      <c r="G28" s="1">
        <v>600</v>
      </c>
      <c r="H28" s="1">
        <v>0</v>
      </c>
      <c r="I28" s="1">
        <v>10</v>
      </c>
      <c r="J28" s="1">
        <v>1</v>
      </c>
      <c r="K28" s="1">
        <v>0.5</v>
      </c>
      <c r="L28" s="1">
        <v>1</v>
      </c>
      <c r="M28" s="1">
        <v>3</v>
      </c>
      <c r="N28" s="1">
        <f t="shared" si="0"/>
        <v>1</v>
      </c>
      <c r="O28" s="1">
        <v>3</v>
      </c>
      <c r="P28" s="1">
        <v>-1</v>
      </c>
      <c r="Q28" s="1">
        <v>0</v>
      </c>
      <c r="R28" s="1">
        <f t="shared" si="1"/>
        <v>4</v>
      </c>
      <c r="S28" s="1">
        <v>95.52</v>
      </c>
      <c r="T28" s="1">
        <v>5.11E-2</v>
      </c>
      <c r="U28" s="1">
        <f t="shared" si="2"/>
        <v>5</v>
      </c>
      <c r="V28" s="1">
        <v>97.318399999999997</v>
      </c>
      <c r="W28" s="1">
        <v>0.1103</v>
      </c>
      <c r="X28">
        <f t="shared" si="3"/>
        <v>5</v>
      </c>
      <c r="Y28">
        <v>97.318399999999997</v>
      </c>
      <c r="Z28">
        <v>0.1103</v>
      </c>
      <c r="AA28">
        <f t="shared" si="4"/>
        <v>6</v>
      </c>
      <c r="AB28">
        <v>97.004099999999994</v>
      </c>
      <c r="AC28">
        <v>0.31330000000000002</v>
      </c>
    </row>
    <row r="29" spans="1:29" x14ac:dyDescent="0.25">
      <c r="A29" t="s">
        <v>80</v>
      </c>
      <c r="B29">
        <v>993.60619199999996</v>
      </c>
      <c r="C29">
        <v>1.4870110000000001</v>
      </c>
      <c r="D29">
        <v>0.12574565963676104</v>
      </c>
      <c r="E29" s="1">
        <v>3</v>
      </c>
      <c r="F29" s="57">
        <v>3</v>
      </c>
      <c r="G29" s="1">
        <v>1200</v>
      </c>
      <c r="H29" s="1">
        <v>0</v>
      </c>
      <c r="I29" s="1">
        <v>2</v>
      </c>
      <c r="J29" s="1">
        <v>0</v>
      </c>
      <c r="K29" s="1">
        <v>0.5</v>
      </c>
      <c r="L29" s="1">
        <v>1</v>
      </c>
      <c r="M29" s="1">
        <v>2</v>
      </c>
      <c r="N29" s="1">
        <f t="shared" si="0"/>
        <v>-1</v>
      </c>
      <c r="O29" s="1">
        <v>0</v>
      </c>
      <c r="P29" s="1">
        <v>2</v>
      </c>
      <c r="Q29" s="1">
        <v>3</v>
      </c>
      <c r="R29" s="1">
        <f t="shared" si="1"/>
        <v>5</v>
      </c>
      <c r="S29" s="1">
        <v>97.318399999999997</v>
      </c>
      <c r="T29" s="1">
        <v>0.1103</v>
      </c>
      <c r="U29" s="1">
        <f t="shared" si="2"/>
        <v>6</v>
      </c>
      <c r="V29" s="1">
        <v>97.004099999999994</v>
      </c>
      <c r="W29" s="1">
        <v>0.31330000000000002</v>
      </c>
      <c r="X29">
        <f t="shared" si="3"/>
        <v>6</v>
      </c>
      <c r="Y29">
        <v>97.004099999999994</v>
      </c>
      <c r="Z29">
        <v>0.31330000000000002</v>
      </c>
      <c r="AA29">
        <f t="shared" si="4"/>
        <v>7</v>
      </c>
      <c r="AB29">
        <v>100</v>
      </c>
      <c r="AC29">
        <v>10000000000</v>
      </c>
    </row>
    <row r="30" spans="1:29" x14ac:dyDescent="0.25">
      <c r="A30" t="s">
        <v>81</v>
      </c>
      <c r="B30">
        <v>929.47015799999997</v>
      </c>
      <c r="C30">
        <v>5.1709860000000001</v>
      </c>
      <c r="D30">
        <v>0.17576217909227787</v>
      </c>
      <c r="E30" s="1">
        <v>3</v>
      </c>
      <c r="F30" s="57">
        <v>4</v>
      </c>
      <c r="G30" s="1">
        <v>1200</v>
      </c>
      <c r="H30" s="1">
        <v>0</v>
      </c>
      <c r="I30" s="1">
        <v>2</v>
      </c>
      <c r="J30" s="1">
        <v>-1</v>
      </c>
      <c r="K30" s="1">
        <v>0.5</v>
      </c>
      <c r="L30" s="1">
        <v>1</v>
      </c>
      <c r="M30" s="1">
        <v>3</v>
      </c>
      <c r="N30" s="1">
        <f t="shared" si="0"/>
        <v>0</v>
      </c>
      <c r="O30" s="1">
        <v>3</v>
      </c>
      <c r="P30" s="1">
        <v>-1</v>
      </c>
      <c r="Q30" s="1">
        <v>0</v>
      </c>
      <c r="R30" s="1">
        <f t="shared" si="1"/>
        <v>3</v>
      </c>
      <c r="S30" s="1">
        <v>95.009799999999998</v>
      </c>
      <c r="T30" s="1">
        <v>2.5000000000000001E-2</v>
      </c>
      <c r="U30" s="1">
        <f t="shared" si="2"/>
        <v>4</v>
      </c>
      <c r="V30" s="1">
        <v>95.52</v>
      </c>
      <c r="W30" s="1">
        <v>5.11E-2</v>
      </c>
      <c r="X30">
        <f t="shared" si="3"/>
        <v>4</v>
      </c>
      <c r="Y30">
        <v>95.52</v>
      </c>
      <c r="Z30">
        <v>5.11E-2</v>
      </c>
      <c r="AA30">
        <f t="shared" si="4"/>
        <v>5</v>
      </c>
      <c r="AB30">
        <v>97.318399999999997</v>
      </c>
      <c r="AC30">
        <v>0.1103</v>
      </c>
    </row>
    <row r="31" spans="1:29" x14ac:dyDescent="0.25">
      <c r="A31" t="s">
        <v>82</v>
      </c>
      <c r="B31">
        <v>886.61727699999994</v>
      </c>
      <c r="C31">
        <v>4.147335</v>
      </c>
      <c r="D31">
        <v>0.17796031533766749</v>
      </c>
      <c r="E31" s="1">
        <v>3</v>
      </c>
      <c r="F31" s="57">
        <v>6</v>
      </c>
      <c r="G31" s="1">
        <v>600</v>
      </c>
      <c r="H31" s="1">
        <v>0</v>
      </c>
      <c r="I31" s="1">
        <v>2</v>
      </c>
      <c r="J31" s="1">
        <v>-1</v>
      </c>
      <c r="K31" s="1">
        <v>0.15</v>
      </c>
      <c r="L31" s="1">
        <v>0</v>
      </c>
      <c r="M31" s="1">
        <v>3</v>
      </c>
      <c r="N31" s="1">
        <f t="shared" si="0"/>
        <v>0</v>
      </c>
      <c r="O31" s="1">
        <v>3</v>
      </c>
      <c r="P31" s="1">
        <v>-1</v>
      </c>
      <c r="Q31" s="1">
        <v>0</v>
      </c>
      <c r="R31" s="1">
        <f t="shared" si="1"/>
        <v>4</v>
      </c>
      <c r="S31" s="1">
        <v>95.52</v>
      </c>
      <c r="T31" s="1">
        <v>5.11E-2</v>
      </c>
      <c r="U31" s="1">
        <f t="shared" si="2"/>
        <v>5</v>
      </c>
      <c r="V31" s="1">
        <v>97.318399999999997</v>
      </c>
      <c r="W31" s="1">
        <v>0.1103</v>
      </c>
      <c r="X31">
        <f t="shared" si="3"/>
        <v>5</v>
      </c>
      <c r="Y31">
        <v>97.318399999999997</v>
      </c>
      <c r="Z31">
        <v>0.1103</v>
      </c>
      <c r="AA31">
        <f t="shared" si="4"/>
        <v>6</v>
      </c>
      <c r="AB31">
        <v>97.004099999999994</v>
      </c>
      <c r="AC31">
        <v>0.31330000000000002</v>
      </c>
    </row>
  </sheetData>
  <sheetProtection password="C2EC" sheet="1" objects="1" scenarios="1" selectLockedCells="1" selectUnlockedCells="1"/>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(STEP 1) Baseline Conditions</vt:lpstr>
      <vt:lpstr>(STEP 2) Alternative BMP Choice</vt:lpstr>
      <vt:lpstr>Printout</vt:lpstr>
      <vt:lpstr>Management Condition Ex.</vt:lpstr>
      <vt:lpstr>Printout!Print_Area</vt:lpstr>
    </vt:vector>
  </TitlesOfParts>
  <Company>University of Minnesota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C Galzki</dc:creator>
  <cp:lastModifiedBy>Jacob C Galzki</cp:lastModifiedBy>
  <cp:lastPrinted>2017-08-07T18:19:56Z</cp:lastPrinted>
  <dcterms:created xsi:type="dcterms:W3CDTF">2017-02-14T16:25:57Z</dcterms:created>
  <dcterms:modified xsi:type="dcterms:W3CDTF">2017-09-07T13:03:50Z</dcterms:modified>
</cp:coreProperties>
</file>